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0" documentId="8_{018F0F22-93D1-4EFD-8855-03E7CF354506}" xr6:coauthVersionLast="47" xr6:coauthVersionMax="47" xr10:uidLastSave="{00000000-0000-0000-0000-000000000000}"/>
  <workbookProtection workbookAlgorithmName="SHA-512" workbookHashValue="/jJcEu7iQzK/req0burH8l74wMJ9HZKnJzzFpxVAbvfnJ4TNIdWTdVSUrwxu2S3yNKhbwA+WaDgUT0nxwte91Q==" workbookSaltValue="CvRIG7bC5Uc53ACIocRcUA==" workbookSpinCount="100000" lockStructure="1"/>
  <bookViews>
    <workbookView showSheetTabs="0" xWindow="-120" yWindow="-120" windowWidth="29040" windowHeight="15720" xr2:uid="{75FF62EB-E51C-4DB2-82FE-FA38DD3BC8B2}"/>
  </bookViews>
  <sheets>
    <sheet name="Úvod" sheetId="1" r:id="rId1"/>
    <sheet name="Zakaznik" sheetId="10" r:id="rId2"/>
    <sheet name="Menu" sheetId="11" r:id="rId3"/>
    <sheet name="Překlady" sheetId="2" state="hidden" r:id="rId4"/>
    <sheet name="nákresy" sheetId="12" state="hidden" r:id="rId5"/>
    <sheet name="čelo" sheetId="5" r:id="rId6"/>
    <sheet name="Smini" sheetId="14" r:id="rId7"/>
    <sheet name="kontrola" sheetId="17" state="hidden" r:id="rId8"/>
    <sheet name="vnitřní" sheetId="13" state="hidden" r:id="rId9"/>
    <sheet name="vnitřní2" sheetId="16" state="hidden" r:id="rId10"/>
    <sheet name="Karty" sheetId="7" state="hidden" r:id="rId11"/>
    <sheet name="výška bočnic" sheetId="8" state="hidden" r:id="rId12"/>
  </sheets>
  <definedNames>
    <definedName name="_A1">#REF!</definedName>
    <definedName name="_A2">#REF!</definedName>
    <definedName name="_A3">#REF!</definedName>
    <definedName name="_xlnm._FilterDatabase" localSheetId="10" hidden="1">Karty!$K$2:$Q$97</definedName>
    <definedName name="_kombinovane_profily">#REF!</definedName>
    <definedName name="_N1">#REF!</definedName>
    <definedName name="_N2">#REF!</definedName>
    <definedName name="_N3">#REF!</definedName>
    <definedName name="_obrazek">IF(#REF!="PRAVDA",#REF!,IF(#REF!="NEPRAVDA",#REF!,0))</definedName>
    <definedName name="_pocet_sprzosy">#REF!</definedName>
    <definedName name="_široký_Automatická_vzpěra">#REF!</definedName>
    <definedName name="_široký_Aventos_HF">#REF!</definedName>
    <definedName name="_široký_Aventos_HK_XS">#REF!</definedName>
    <definedName name="_široký_BLUM_naložený">#REF!</definedName>
    <definedName name="_široký_BLUM_polonaložený">#REF!</definedName>
    <definedName name="_široký_BLUM_vložený">#REF!</definedName>
    <definedName name="_široký_Duo">#REF!</definedName>
    <definedName name="_široký_Duo_Forte">#REF!</definedName>
    <definedName name="_široký_FREEfold">#REF!</definedName>
    <definedName name="_široký_FREElight">#REF!</definedName>
    <definedName name="_široký_HETTICH_naložený">#REF!</definedName>
    <definedName name="_široký_HETTICH_polonaložený">#REF!</definedName>
    <definedName name="_široký_HETTICH_vložený">#REF!</definedName>
    <definedName name="_široký_K12">#REF!</definedName>
    <definedName name="_široký_Kiaro">#REF!</definedName>
    <definedName name="_široký_Kraby">#REF!</definedName>
    <definedName name="_široký_LiftMini">#REF!</definedName>
    <definedName name="_široký_Link">#REF!</definedName>
    <definedName name="_široký_Maxi">#REF!</definedName>
    <definedName name="_široký_Polohovací_vzpěra">#REF!</definedName>
    <definedName name="_široký_Spodní_K12">#REF!</definedName>
    <definedName name="_široký_Spodní_Kraby">#REF!</definedName>
    <definedName name="_široký_STRONG_naložený">#REF!</definedName>
    <definedName name="_široký_STRONG_PLUS_naložený">#REF!</definedName>
    <definedName name="_široký_STRONG_PLUS_polonaložený">#REF!</definedName>
    <definedName name="_široký_STRONG_PLUS_vložený">#REF!</definedName>
    <definedName name="_široký_STRONG_polonaložený">#REF!</definedName>
    <definedName name="_široký_STRONG_vložený">#REF!</definedName>
    <definedName name="_umisteni_zavesu">#REF!</definedName>
    <definedName name="_umisteni_zavesu_vyklop">#REF!</definedName>
    <definedName name="_Úzký_Automatická_vzpěra">#REF!</definedName>
    <definedName name="_Úzký_Aventos_HF">#REF!</definedName>
    <definedName name="_Úzký_Aventos_HK_XS">#REF!</definedName>
    <definedName name="_úzký_BLUM_naložený">#REF!</definedName>
    <definedName name="_úzký_BLUM_polonaložený">#REF!</definedName>
    <definedName name="_úzký_BLUM_vložený">#REF!</definedName>
    <definedName name="_Úzký_Duo">#REF!</definedName>
    <definedName name="_Úzký_Duo_Forte">#REF!</definedName>
    <definedName name="_Úzký_FREEfold">#REF!</definedName>
    <definedName name="_Úzký_FREElight">#REF!</definedName>
    <definedName name="_úzký_HETTICH_naložený">#REF!</definedName>
    <definedName name="_úzký_HETTICH_polonaložený">#REF!</definedName>
    <definedName name="_úzký_HETTICH_vložený">#REF!</definedName>
    <definedName name="_Úzký_K12">#REF!</definedName>
    <definedName name="_Úzký_Kiaro">#REF!</definedName>
    <definedName name="_Úzký_Kraby">#REF!</definedName>
    <definedName name="_Úzký_Maxi">#REF!</definedName>
    <definedName name="_Úzký_Polohovací_vzpěra">#REF!</definedName>
    <definedName name="_Úzký_Spodní_K12">#REF!</definedName>
    <definedName name="_Úzký_Spodní_Kraby">#REF!</definedName>
    <definedName name="_úzký_STRONG_naložený">#REF!</definedName>
    <definedName name="_úzký_STRONG_PLUS_naložený">#REF!</definedName>
    <definedName name="_varna_panty_svisle">#REF!</definedName>
    <definedName name="_vše_profily">#REF!</definedName>
    <definedName name="_vyklopy_blum">#REF!</definedName>
    <definedName name="_vyklopy_hettich">#REF!</definedName>
    <definedName name="_vyklopy_italiana">#REF!</definedName>
    <definedName name="_vyklopy_kesse">#REF!</definedName>
    <definedName name="_vyklopy_strong">#REF!</definedName>
    <definedName name="_zavesy_blum">#REF!</definedName>
    <definedName name="_zavesy_hettich">#REF!</definedName>
    <definedName name="_zavesy_strong">#REF!</definedName>
    <definedName name="_znacka_vyklopy">#REF!</definedName>
    <definedName name="_znacka_zavesy">#REF!</definedName>
    <definedName name="AV_HF">#REF!</definedName>
    <definedName name="AV_HF_SD">#REF!</definedName>
    <definedName name="AV_HK">#REF!</definedName>
    <definedName name="AV_HK_SD">#REF!</definedName>
    <definedName name="AV_HK_TIP">#REF!</definedName>
    <definedName name="AV_HKS">#REF!</definedName>
    <definedName name="AV_HKS_TIP">#REF!</definedName>
    <definedName name="AV_HKXS">#REF!</definedName>
    <definedName name="AV_HKXS_TIP">#REF!</definedName>
    <definedName name="AV_HL">#REF!</definedName>
    <definedName name="AV_HL_SD">#REF!</definedName>
    <definedName name="AV_HS">#REF!</definedName>
    <definedName name="AV_HS_SD">#REF!</definedName>
    <definedName name="AV_OST">#REF!</definedName>
    <definedName name="BLUM">#REF!</definedName>
    <definedName name="BLUM_WIDE">#REF!</definedName>
    <definedName name="ČTYŘI_VÝŠKY" localSheetId="6">Smini!$AB$6:$AB$9</definedName>
    <definedName name="ČTYŘI_VÝŠKY" localSheetId="8">vnitřní!$Y$6:$Y$9</definedName>
    <definedName name="ČTYŘI_VÝŠKY">čelo!$Y$6:$Y$9</definedName>
    <definedName name="DOL_DV">#REF!</definedName>
    <definedName name="DOLE">#REF!</definedName>
    <definedName name="DTDL_18">#REF!</definedName>
    <definedName name="DVĚ_VÝŠKY" localSheetId="6">Smini!$Z$6:$Z$7</definedName>
    <definedName name="DVĚ_VÝŠKY" localSheetId="8">vnitřní!$W$6:$W$7</definedName>
    <definedName name="DVĚ_VÝŠKY">čelo!$W$6:$W$7</definedName>
    <definedName name="HETTICH">#REF!</definedName>
    <definedName name="HF_POZICE_2_DVIRKA">#REF!</definedName>
    <definedName name="HF_TYP_2_CILKA">#REF!</definedName>
    <definedName name="HM_UCH">#REF!</definedName>
    <definedName name="HOR_DV">#REF!</definedName>
    <definedName name="JEDNA_VÝŠKA" localSheetId="6">Smini!$Y$6</definedName>
    <definedName name="JEDNA_VÝŠKA" localSheetId="8">vnitřní!$V$6</definedName>
    <definedName name="JEDNA_VÝŠKA">čelo!$V$6</definedName>
    <definedName name="MAX_ROZ_RAM">#REF!</definedName>
    <definedName name="MDF_16">#REF!</definedName>
    <definedName name="MDF_18">#REF!</definedName>
    <definedName name="MIN_POZ_ZAVES">#REF!</definedName>
    <definedName name="MIN_POZ_ZAVES_80">#REF!</definedName>
    <definedName name="MIN_ROZ_RAM">#REF!</definedName>
    <definedName name="NAHORE">#REF!</definedName>
    <definedName name="OBE_STRANY">#REF!</definedName>
    <definedName name="_xlnm.Print_Area" localSheetId="5">čelo!$A$177:$M$287</definedName>
    <definedName name="_xlnm.Print_Area" localSheetId="6">Smini!$A$264:$W$423</definedName>
    <definedName name="_xlnm.Print_Area" localSheetId="8">vnitřní!$A$215:$H$331</definedName>
    <definedName name="PANT_BLUM_SLIM">#REF!</definedName>
    <definedName name="PANT_BLUM_WIDE">#REF!</definedName>
    <definedName name="PANT_HETTICH_SLIM">#REF!</definedName>
    <definedName name="PANT_HETTICH_WIDE">#REF!</definedName>
    <definedName name="PANT_STRONG_SLIM_BTL">#REF!</definedName>
    <definedName name="PANT_STRONG_SLIM_STL">#REF!</definedName>
    <definedName name="PANT_STRONG_WIDE_BTL">#REF!</definedName>
    <definedName name="PANT_STRONG_WIDE_STL">#REF!</definedName>
    <definedName name="PANTY_TAB1">#REF!</definedName>
    <definedName name="POC_ZAVES">#REF!</definedName>
    <definedName name="POZ_RAM">#REF!</definedName>
    <definedName name="POZICE_RAMENE">#REF!</definedName>
    <definedName name="PRAZDNE_1">#REF!</definedName>
    <definedName name="PROFILY_ALL">#REF!</definedName>
    <definedName name="PROV_2_CILKA">#REF!</definedName>
    <definedName name="RADEK_1_5">OFFSET(#REF!,0,0,COUNT(#REF!:#REF!),1)</definedName>
    <definedName name="RADEK_1_6">OFFSET(#REF!,0,0,COUNT(#REF!:#REF!),1)</definedName>
    <definedName name="RADEK_2_5">OFFSET(#REF!,0,0,COUNT(#REF!:#REF!),1)</definedName>
    <definedName name="RADEK_2_6">OFFSET(#REF!,0,0,COUNT(#REF!:#REF!),1)</definedName>
    <definedName name="RADEK_3_5">OFFSET(#REF!,0,0,COUNT(#REF!:#REF!),1)</definedName>
    <definedName name="RADEK_3_6">OFFSET(#REF!,0,0,COUNT(#REF!:#REF!),1)</definedName>
    <definedName name="RADEK_4_5">OFFSET(#REF!,0,0,COUNT(#REF!:#REF!),1)</definedName>
    <definedName name="RADEK_4_6">OFFSET(#REF!,0,0,COUNT(#REF!:#REF!),1)</definedName>
    <definedName name="RADEK_5_5">OFFSET(#REF!,0,0,COUNT(#REF!:#REF!),1)</definedName>
    <definedName name="RADEK_5_6">OFFSET(#REF!,0,0,COUNT(#REF!:#REF!),1)</definedName>
    <definedName name="RADEK_6_5">OFFSET(#REF!,0,0,COUNT(#REF!:#REF!),1)</definedName>
    <definedName name="RADEK_6_6">OFFSET(#REF!,0,0,COUNT(#REF!:#REF!),1)</definedName>
    <definedName name="SIR_RAM">#REF!</definedName>
    <definedName name="SKLO_ALL">#REF!</definedName>
    <definedName name="SKLO_FOR_STICK">#REF!</definedName>
    <definedName name="SKLO_VYBER_T1">OFFSET(#REF!,0,0,COUNT(#REF!),1)</definedName>
    <definedName name="SKLO_VYBER_T2">OFFSET(#REF!,0,0,COUNT(#REF!),1)</definedName>
    <definedName name="SKLO_VYBER_T3">OFFSET(#REF!,0,0,COUNT(#REF!),1)</definedName>
    <definedName name="SKLO_VYBER_T4">OFFSET(#REF!,0,0,COUNT(#REF!),1)</definedName>
    <definedName name="SKLO_VYBER_T5">OFFSET(#REF!,0,0,COUNT(#REF!),1)</definedName>
    <definedName name="SKLO_VYBER_T6">OFFSET(#REF!,0,0,COUNT(#REF!),1)</definedName>
    <definedName name="STRONG_BINT_TL">#REF!</definedName>
    <definedName name="STRONG_INT_TL">#REF!</definedName>
    <definedName name="STRONG_Plus">#REF!</definedName>
    <definedName name="T1_PANT_BLUM">#REF!</definedName>
    <definedName name="T1_PANT_HETTICH">#REF!</definedName>
    <definedName name="T1_PANT_STRONG_BTL">#REF!</definedName>
    <definedName name="T1_PANT_STRONG_PLUS">#REF!</definedName>
    <definedName name="T1_PANT_STRONG_STL">#REF!</definedName>
    <definedName name="T1_PODLOZKA_TYPY">OFFSET(#REF!,0,0,COUNT(#REF!),1)</definedName>
    <definedName name="T1_VYKLOPY">OFFSET(#REF!,0,0,COUNT(#REF!),1)</definedName>
    <definedName name="T2_PANT_BLUM">#REF!</definedName>
    <definedName name="T2_PANT_HETTICH">#REF!</definedName>
    <definedName name="T2_PANT_STRONG_BTL">#REF!</definedName>
    <definedName name="T2_PANT_STRONG_STL">#REF!</definedName>
    <definedName name="T2_PODLOZKA_TYPY">OFFSET(#REF!,0,0,COUNT(#REF!),1)</definedName>
    <definedName name="T2_VYKLOPY">OFFSET(#REF!,0,0,COUNT(#REF!),1)</definedName>
    <definedName name="T3_PANT_BLUM">#REF!</definedName>
    <definedName name="T3_PANT_HETTICH">#REF!</definedName>
    <definedName name="T3_PANT_STRONG_BTL">#REF!</definedName>
    <definedName name="T3_PANT_STRONG_STL">#REF!</definedName>
    <definedName name="T3_PODLOZKA_TYPY">OFFSET(#REF!,0,0,COUNT(#REF!),1)</definedName>
    <definedName name="T3_VYKLOPY">OFFSET(#REF!,0,0,COUNT(#REF!),1)</definedName>
    <definedName name="T4_PANT_BLUM">#REF!</definedName>
    <definedName name="T4_PANT_HETTICH">#REF!</definedName>
    <definedName name="T4_PANT_STRONG_BTL">#REF!</definedName>
    <definedName name="T4_PANT_STRONG_STL">#REF!</definedName>
    <definedName name="T4_PODLOZKA_TYPY">OFFSET(#REF!,0,0,COUNT(#REF!),1)</definedName>
    <definedName name="T4_VYKLOPY">OFFSET(#REF!,0,0,COUNT(#REF!),1)</definedName>
    <definedName name="T5_PANT_BLUM">#REF!</definedName>
    <definedName name="T5_PANT_HETTICH">#REF!</definedName>
    <definedName name="T5_PANT_STRONG_BTL">#REF!</definedName>
    <definedName name="T5_PANT_STRONG_STL">#REF!</definedName>
    <definedName name="T5_PODLOZKA_TYPY">OFFSET(#REF!,0,0,COUNT(#REF!),1)</definedName>
    <definedName name="T5_VYKLOPY">OFFSET(#REF!,0,0,COUNT(#REF!),1)</definedName>
    <definedName name="T6_PANT_BLUM">#REF!</definedName>
    <definedName name="T6_PANT_HETTICH">#REF!</definedName>
    <definedName name="T6_PANT_STRONG_BTL">#REF!</definedName>
    <definedName name="T6_PANT_STRONG_STL">#REF!</definedName>
    <definedName name="T6_PODLOZKA_TYPY">OFFSET(#REF!,0,0,COUNT(#REF!),1)</definedName>
    <definedName name="T6_VYKLOPY">OFFSET(#REF!,0,0,COUNT(#REF!),1)</definedName>
    <definedName name="TŘI_VÝŠKY" localSheetId="6">Smini!$AA$6:$AA$8</definedName>
    <definedName name="TŘI_VÝŠKY" localSheetId="8">vnitřní!$X$6:$X$8</definedName>
    <definedName name="TŘI_VÝŠKY">čelo!$X$6:$X$8</definedName>
    <definedName name="TYP_AV">#REF!</definedName>
    <definedName name="TYP_AV_OST">#REF!</definedName>
    <definedName name="TYP_PODL">#REF!</definedName>
    <definedName name="TYP_RAM">#REF!</definedName>
    <definedName name="TYP_RAM_AV_HL">#REF!</definedName>
    <definedName name="TYP_ZAV">#REF!</definedName>
    <definedName name="UMISTENI_RAM_HKXS">#REF!</definedName>
    <definedName name="UMISTENI_VYKLOP">#REF!</definedName>
    <definedName name="UZKY_RAM">#REF!</definedName>
    <definedName name="VLEVO">#REF!</definedName>
    <definedName name="VPRAVO">#REF!</definedName>
    <definedName name="VYBER_SEZN">#REF!</definedName>
    <definedName name="VYKLOP_DWN_SLIM">#REF!</definedName>
    <definedName name="VYKLOP_DWN_WIDE">#REF!</definedName>
    <definedName name="VYKLOP_UP_SLIM">#REF!</definedName>
    <definedName name="VYKLOP_UP_WIDE">#REF!</definedName>
    <definedName name="VYR_ZAVES">#REF!</definedName>
    <definedName name="VZD_ZAVES">#REF!</definedName>
    <definedName name="ZAVESY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2" l="1"/>
  <c r="F48" i="2"/>
  <c r="E48" i="2"/>
  <c r="B59" i="14"/>
  <c r="AG31" i="14"/>
  <c r="AG30" i="14"/>
  <c r="AG29" i="14"/>
  <c r="AG28" i="14"/>
  <c r="AG27" i="14"/>
  <c r="N44" i="17"/>
  <c r="C41" i="17"/>
  <c r="N32" i="17"/>
  <c r="C29" i="17"/>
  <c r="N22" i="17"/>
  <c r="C18" i="17"/>
  <c r="N11" i="17"/>
  <c r="C8" i="17"/>
  <c r="N3" i="17"/>
  <c r="O2" i="17"/>
  <c r="B59" i="5"/>
  <c r="B56" i="5"/>
  <c r="B53" i="5"/>
  <c r="B50" i="5"/>
  <c r="AG31" i="5"/>
  <c r="AG30" i="5"/>
  <c r="AG29" i="5"/>
  <c r="AG28" i="5"/>
  <c r="AG27" i="5"/>
  <c r="AG26" i="5"/>
  <c r="G22" i="5"/>
  <c r="J94" i="5"/>
  <c r="D94" i="5"/>
  <c r="E94" i="14"/>
  <c r="Q94" i="14"/>
  <c r="T111" i="5"/>
  <c r="I113" i="5"/>
  <c r="D1" i="2"/>
  <c r="C24" i="2"/>
  <c r="B29" i="14"/>
  <c r="I67" i="14"/>
  <c r="F66" i="14"/>
  <c r="T138" i="5"/>
  <c r="D151" i="5"/>
  <c r="J123" i="5"/>
  <c r="D123" i="5"/>
  <c r="C64" i="2"/>
  <c r="I100" i="5"/>
  <c r="Y136" i="14"/>
  <c r="Z136" i="14"/>
  <c r="Y114" i="14"/>
  <c r="Z114" i="14"/>
  <c r="N116" i="14"/>
  <c r="Y102" i="14"/>
  <c r="Z102" i="14"/>
  <c r="T107" i="5"/>
  <c r="I104" i="5"/>
  <c r="I76" i="5"/>
  <c r="I79" i="5"/>
  <c r="I82" i="5"/>
  <c r="I85" i="5"/>
  <c r="N89" i="14"/>
  <c r="N76" i="14"/>
  <c r="N78" i="14"/>
  <c r="N80" i="14"/>
  <c r="B55" i="14"/>
  <c r="B51" i="14"/>
  <c r="B47" i="14"/>
  <c r="Z12" i="14"/>
  <c r="Z38" i="14"/>
  <c r="Z37" i="14"/>
  <c r="Z36" i="14"/>
  <c r="Z35" i="14"/>
  <c r="AE13" i="14"/>
  <c r="AE14" i="14"/>
  <c r="AE12" i="14"/>
  <c r="Y12" i="14"/>
  <c r="Q47" i="14"/>
  <c r="Q46" i="14"/>
  <c r="AS27" i="13"/>
  <c r="AS25" i="13"/>
  <c r="AS26" i="13"/>
  <c r="AS28" i="13"/>
  <c r="AS29" i="13"/>
  <c r="Y25" i="13"/>
  <c r="Y26" i="13"/>
  <c r="Y27" i="13"/>
  <c r="AI25" i="13"/>
  <c r="AI26" i="13"/>
  <c r="J88" i="13"/>
  <c r="J87" i="13"/>
  <c r="J86" i="13"/>
  <c r="J85" i="13"/>
  <c r="R42" i="13"/>
  <c r="S42" i="13"/>
  <c r="R41" i="13"/>
  <c r="S41" i="13"/>
  <c r="R43" i="13"/>
  <c r="S43" i="13"/>
  <c r="R44" i="13"/>
  <c r="S44" i="13"/>
  <c r="R45" i="13"/>
  <c r="S45" i="13"/>
  <c r="R47" i="13"/>
  <c r="T47" i="13"/>
  <c r="S51" i="13"/>
  <c r="AH43" i="13"/>
  <c r="AH42" i="13"/>
  <c r="AK51" i="13"/>
  <c r="Y2" i="13"/>
  <c r="Y3" i="13"/>
  <c r="Y1" i="13"/>
  <c r="X1" i="13"/>
  <c r="AD1" i="13"/>
  <c r="AC1" i="13"/>
  <c r="P30" i="13"/>
  <c r="B82" i="13"/>
  <c r="B85" i="13"/>
  <c r="B88" i="13"/>
  <c r="B91" i="13"/>
  <c r="B94" i="13"/>
  <c r="S13" i="13"/>
  <c r="P33" i="13"/>
  <c r="S2" i="13"/>
  <c r="S11" i="13"/>
  <c r="Q18" i="13"/>
  <c r="Y28" i="13"/>
  <c r="J89" i="13"/>
  <c r="AH44" i="13"/>
  <c r="AH45" i="13"/>
  <c r="AH46" i="13"/>
  <c r="AY51" i="13"/>
  <c r="AZ51" i="13"/>
  <c r="AP42" i="13"/>
  <c r="Y29" i="13"/>
  <c r="P100" i="7"/>
  <c r="P101" i="7"/>
  <c r="P102" i="7"/>
  <c r="P103" i="7"/>
  <c r="P104" i="7"/>
  <c r="P105" i="7"/>
  <c r="P106" i="7"/>
  <c r="P107" i="7"/>
  <c r="P108" i="7"/>
  <c r="P109" i="7"/>
  <c r="P110" i="7"/>
  <c r="P111" i="7"/>
  <c r="I79" i="13"/>
  <c r="AK75" i="13"/>
  <c r="AK72" i="13"/>
  <c r="AK71" i="13"/>
  <c r="AK70" i="13"/>
  <c r="AK69" i="13"/>
  <c r="AK68" i="13"/>
  <c r="AK67" i="13"/>
  <c r="AK66" i="13"/>
  <c r="AK65" i="13"/>
  <c r="AK64" i="13"/>
  <c r="AK63" i="13"/>
  <c r="AK62" i="13"/>
  <c r="AK61" i="13"/>
  <c r="AK60" i="13"/>
  <c r="AK59" i="13"/>
  <c r="AK58" i="13"/>
  <c r="AK57" i="13"/>
  <c r="AK56" i="13"/>
  <c r="Y42" i="13"/>
  <c r="O235" i="7"/>
  <c r="O236" i="7"/>
  <c r="O237" i="7"/>
  <c r="O238" i="7"/>
  <c r="O239" i="7"/>
  <c r="O240" i="7"/>
  <c r="O241" i="7"/>
  <c r="O242" i="7"/>
  <c r="O243" i="7"/>
  <c r="O244" i="7"/>
  <c r="O245" i="7"/>
  <c r="O246" i="7"/>
  <c r="O247" i="7"/>
  <c r="O248" i="7"/>
  <c r="O249" i="7"/>
  <c r="O250" i="7"/>
  <c r="O251" i="7"/>
  <c r="O252" i="7"/>
  <c r="O253" i="7"/>
  <c r="O254" i="7"/>
  <c r="O255" i="7"/>
  <c r="O256" i="7"/>
  <c r="O257" i="7"/>
  <c r="O258" i="7"/>
  <c r="O259" i="7"/>
  <c r="O260" i="7"/>
  <c r="O261" i="7"/>
  <c r="O262" i="7"/>
  <c r="O263" i="7"/>
  <c r="O264" i="7"/>
  <c r="O265" i="7"/>
  <c r="O266" i="7"/>
  <c r="O267" i="7"/>
  <c r="O268" i="7"/>
  <c r="O269" i="7"/>
  <c r="O270" i="7"/>
  <c r="O271" i="7"/>
  <c r="O272" i="7"/>
  <c r="O273" i="7"/>
  <c r="O274" i="7"/>
  <c r="O275" i="7"/>
  <c r="O276" i="7"/>
  <c r="O277" i="7"/>
  <c r="O278" i="7"/>
  <c r="O279" i="7"/>
  <c r="O280" i="7"/>
  <c r="O281" i="7"/>
  <c r="O282" i="7"/>
  <c r="O283" i="7"/>
  <c r="O284" i="7"/>
  <c r="O285" i="7"/>
  <c r="O286" i="7"/>
  <c r="O287" i="7"/>
  <c r="O288" i="7"/>
  <c r="O289" i="7"/>
  <c r="O290" i="7"/>
  <c r="O291" i="7"/>
  <c r="O292" i="7"/>
  <c r="O293" i="7"/>
  <c r="O294" i="7"/>
  <c r="O295" i="7"/>
  <c r="O296" i="7"/>
  <c r="O297" i="7"/>
  <c r="O298" i="7"/>
  <c r="O299" i="7"/>
  <c r="O300" i="7"/>
  <c r="O301" i="7"/>
  <c r="O302" i="7"/>
  <c r="O303" i="7"/>
  <c r="O304" i="7"/>
  <c r="O305" i="7"/>
  <c r="O306" i="7"/>
  <c r="O307" i="7"/>
  <c r="O308" i="7"/>
  <c r="O309" i="7"/>
  <c r="O310" i="7"/>
  <c r="O311" i="7"/>
  <c r="O312" i="7"/>
  <c r="O313" i="7"/>
  <c r="O314" i="7"/>
  <c r="O315" i="7"/>
  <c r="O316" i="7"/>
  <c r="O317" i="7"/>
  <c r="O318" i="7"/>
  <c r="AI27" i="13"/>
  <c r="AI28" i="13"/>
  <c r="AI29" i="13"/>
  <c r="AP45" i="13"/>
  <c r="AP44" i="13"/>
  <c r="AP43" i="13"/>
  <c r="AP41" i="13"/>
  <c r="Y44" i="13"/>
  <c r="Y43" i="13"/>
  <c r="Y46" i="13"/>
  <c r="Y45" i="13"/>
  <c r="N53" i="5"/>
  <c r="N52" i="5"/>
  <c r="N51" i="5"/>
  <c r="N50" i="5"/>
  <c r="N49" i="5"/>
  <c r="K53" i="5"/>
  <c r="K52" i="5"/>
  <c r="K51" i="5"/>
  <c r="K50" i="5"/>
  <c r="K49" i="5"/>
  <c r="I116" i="5"/>
  <c r="I119" i="5"/>
  <c r="C119" i="5"/>
  <c r="C116" i="5"/>
  <c r="C77" i="5"/>
  <c r="I91" i="5"/>
  <c r="C75" i="5"/>
  <c r="C78" i="5"/>
  <c r="C81" i="5"/>
  <c r="C84" i="5"/>
  <c r="C90" i="5"/>
  <c r="Z40" i="14"/>
  <c r="Z39" i="14"/>
  <c r="Q48" i="14"/>
  <c r="T49" i="14"/>
  <c r="T48" i="14"/>
  <c r="Q49" i="14"/>
  <c r="T47" i="14"/>
  <c r="B63" i="14"/>
  <c r="B89" i="14"/>
  <c r="B78" i="14"/>
  <c r="B76" i="14"/>
  <c r="B80" i="14"/>
  <c r="T46" i="14"/>
  <c r="Q45" i="14"/>
  <c r="T45" i="14"/>
  <c r="P58" i="14"/>
  <c r="P236" i="7"/>
  <c r="P237" i="7"/>
  <c r="P238" i="7"/>
  <c r="P239" i="7"/>
  <c r="P240" i="7"/>
  <c r="P241" i="7"/>
  <c r="P242" i="7"/>
  <c r="P243" i="7"/>
  <c r="P244" i="7"/>
  <c r="P245" i="7"/>
  <c r="P246" i="7"/>
  <c r="P247" i="7"/>
  <c r="P248" i="7"/>
  <c r="P249" i="7"/>
  <c r="P250" i="7"/>
  <c r="P251" i="7"/>
  <c r="P252" i="7"/>
  <c r="P253" i="7"/>
  <c r="P254" i="7"/>
  <c r="P255" i="7"/>
  <c r="P256" i="7"/>
  <c r="P257" i="7"/>
  <c r="P258" i="7"/>
  <c r="P259" i="7"/>
  <c r="P260" i="7"/>
  <c r="P261" i="7"/>
  <c r="P262" i="7"/>
  <c r="P263" i="7"/>
  <c r="P264" i="7"/>
  <c r="P265" i="7"/>
  <c r="P266" i="7"/>
  <c r="P267" i="7"/>
  <c r="P268" i="7"/>
  <c r="P269" i="7"/>
  <c r="P270" i="7"/>
  <c r="P271" i="7"/>
  <c r="P272" i="7"/>
  <c r="P273" i="7"/>
  <c r="P274" i="7"/>
  <c r="P275" i="7"/>
  <c r="P276" i="7"/>
  <c r="P277" i="7"/>
  <c r="P278" i="7"/>
  <c r="P279" i="7"/>
  <c r="P280" i="7"/>
  <c r="P281" i="7"/>
  <c r="P282" i="7"/>
  <c r="P283" i="7"/>
  <c r="P284" i="7"/>
  <c r="P285" i="7"/>
  <c r="P286" i="7"/>
  <c r="P287" i="7"/>
  <c r="P288" i="7"/>
  <c r="P289" i="7"/>
  <c r="P290" i="7"/>
  <c r="P291" i="7"/>
  <c r="P292" i="7"/>
  <c r="P293" i="7"/>
  <c r="P294" i="7"/>
  <c r="P295" i="7"/>
  <c r="P296" i="7"/>
  <c r="P297" i="7"/>
  <c r="P298" i="7"/>
  <c r="P299" i="7"/>
  <c r="P300" i="7"/>
  <c r="P301" i="7"/>
  <c r="P302" i="7"/>
  <c r="P303" i="7"/>
  <c r="P304" i="7"/>
  <c r="P305" i="7"/>
  <c r="P306" i="7"/>
  <c r="P307" i="7"/>
  <c r="P308" i="7"/>
  <c r="P309" i="7"/>
  <c r="P310" i="7"/>
  <c r="P311" i="7"/>
  <c r="P312" i="7"/>
  <c r="P313" i="7"/>
  <c r="P314" i="7"/>
  <c r="P315" i="7"/>
  <c r="P316" i="7"/>
  <c r="P317" i="7"/>
  <c r="P318" i="7"/>
  <c r="P235" i="7"/>
  <c r="M78" i="14"/>
  <c r="Z34" i="14"/>
  <c r="AG32" i="14"/>
  <c r="Y31" i="14"/>
  <c r="Z31" i="14"/>
  <c r="AA31" i="14"/>
  <c r="AB31" i="14"/>
  <c r="Y30" i="14"/>
  <c r="Z30" i="14"/>
  <c r="AA30" i="14"/>
  <c r="AB30" i="14"/>
  <c r="Y29" i="14"/>
  <c r="Y28" i="14"/>
  <c r="Y27" i="14"/>
  <c r="Z27" i="14"/>
  <c r="AA27" i="14"/>
  <c r="AB27" i="14"/>
  <c r="C79" i="2"/>
  <c r="AD2" i="13"/>
  <c r="R69" i="13"/>
  <c r="R68" i="13"/>
  <c r="R67" i="13"/>
  <c r="R66" i="13"/>
  <c r="R64" i="13"/>
  <c r="R62" i="13"/>
  <c r="R65" i="13"/>
  <c r="R61" i="13"/>
  <c r="R60" i="13"/>
  <c r="R63" i="13"/>
  <c r="R58" i="13"/>
  <c r="C97" i="2"/>
  <c r="B20" i="14"/>
  <c r="C101" i="2"/>
  <c r="R59" i="13"/>
  <c r="R57" i="13"/>
  <c r="R56" i="13"/>
  <c r="R55" i="13"/>
  <c r="R54" i="13"/>
  <c r="R53" i="13"/>
  <c r="R52" i="13"/>
  <c r="P45" i="13"/>
  <c r="P44" i="13"/>
  <c r="P43" i="13"/>
  <c r="P42" i="13"/>
  <c r="P41" i="13"/>
  <c r="C95" i="2"/>
  <c r="F41" i="13"/>
  <c r="C93" i="2"/>
  <c r="J41" i="13"/>
  <c r="P4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112" i="7"/>
  <c r="P113" i="7"/>
  <c r="P114" i="7"/>
  <c r="P115" i="7"/>
  <c r="P116" i="7"/>
  <c r="P117" i="7"/>
  <c r="P118" i="7"/>
  <c r="P119" i="7"/>
  <c r="P120" i="7"/>
  <c r="P121" i="7"/>
  <c r="P122" i="7"/>
  <c r="P123" i="7"/>
  <c r="P124" i="7"/>
  <c r="P125" i="7"/>
  <c r="P126" i="7"/>
  <c r="P127" i="7"/>
  <c r="P128" i="7"/>
  <c r="P129" i="7"/>
  <c r="P130" i="7"/>
  <c r="P131" i="7"/>
  <c r="P132" i="7"/>
  <c r="P133" i="7"/>
  <c r="P134" i="7"/>
  <c r="P135" i="7"/>
  <c r="P136" i="7"/>
  <c r="P137" i="7"/>
  <c r="P138" i="7"/>
  <c r="P139" i="7"/>
  <c r="P140" i="7"/>
  <c r="P141" i="7"/>
  <c r="P142" i="7"/>
  <c r="P143" i="7"/>
  <c r="P144" i="7"/>
  <c r="P145" i="7"/>
  <c r="P146" i="7"/>
  <c r="P147" i="7"/>
  <c r="P148" i="7"/>
  <c r="P149" i="7"/>
  <c r="P150" i="7"/>
  <c r="P151" i="7"/>
  <c r="P152" i="7"/>
  <c r="P153" i="7"/>
  <c r="P154" i="7"/>
  <c r="P155" i="7"/>
  <c r="P156" i="7"/>
  <c r="P157" i="7"/>
  <c r="P158" i="7"/>
  <c r="P159" i="7"/>
  <c r="P160" i="7"/>
  <c r="P161" i="7"/>
  <c r="P162" i="7"/>
  <c r="P163" i="7"/>
  <c r="P164" i="7"/>
  <c r="P165" i="7"/>
  <c r="P166" i="7"/>
  <c r="P167" i="7"/>
  <c r="P168" i="7"/>
  <c r="P169" i="7"/>
  <c r="P170" i="7"/>
  <c r="P171" i="7"/>
  <c r="P172" i="7"/>
  <c r="P173" i="7"/>
  <c r="P174" i="7"/>
  <c r="P175" i="7"/>
  <c r="P176" i="7"/>
  <c r="P177" i="7"/>
  <c r="P178" i="7"/>
  <c r="P179" i="7"/>
  <c r="P180" i="7"/>
  <c r="P181" i="7"/>
  <c r="P182" i="7"/>
  <c r="P183" i="7"/>
  <c r="P184" i="7"/>
  <c r="P185" i="7"/>
  <c r="P186" i="7"/>
  <c r="P187" i="7"/>
  <c r="P188" i="7"/>
  <c r="P189" i="7"/>
  <c r="P190" i="7"/>
  <c r="P191" i="7"/>
  <c r="P192" i="7"/>
  <c r="P193" i="7"/>
  <c r="P194" i="7"/>
  <c r="P195" i="7"/>
  <c r="P196" i="7"/>
  <c r="P197" i="7"/>
  <c r="P198" i="7"/>
  <c r="P199" i="7"/>
  <c r="P200" i="7"/>
  <c r="P201" i="7"/>
  <c r="P202" i="7"/>
  <c r="P203" i="7"/>
  <c r="P204" i="7"/>
  <c r="P205" i="7"/>
  <c r="P206" i="7"/>
  <c r="P207" i="7"/>
  <c r="P208" i="7"/>
  <c r="P209" i="7"/>
  <c r="P210" i="7"/>
  <c r="P211" i="7"/>
  <c r="P212" i="7"/>
  <c r="P213" i="7"/>
  <c r="P214" i="7"/>
  <c r="P215" i="7"/>
  <c r="P216" i="7"/>
  <c r="P217" i="7"/>
  <c r="P218" i="7"/>
  <c r="P219" i="7"/>
  <c r="P220" i="7"/>
  <c r="P221" i="7"/>
  <c r="P222" i="7"/>
  <c r="P223" i="7"/>
  <c r="P224" i="7"/>
  <c r="P225" i="7"/>
  <c r="P226" i="7"/>
  <c r="P227" i="7"/>
  <c r="P228" i="7"/>
  <c r="P229" i="7"/>
  <c r="P230" i="7"/>
  <c r="E42" i="13"/>
  <c r="P231" i="7"/>
  <c r="P232" i="7"/>
  <c r="P233" i="7"/>
  <c r="P3" i="7"/>
  <c r="C92" i="2"/>
  <c r="B42" i="13"/>
  <c r="C91" i="2"/>
  <c r="B40" i="13"/>
  <c r="C90" i="2"/>
  <c r="B17" i="13"/>
  <c r="C89" i="2"/>
  <c r="B16" i="13"/>
  <c r="C88" i="2"/>
  <c r="H23" i="13"/>
  <c r="P26" i="13"/>
  <c r="P27" i="13"/>
  <c r="S12" i="13"/>
  <c r="Q19" i="13"/>
  <c r="R12" i="13"/>
  <c r="R13" i="13"/>
  <c r="R11" i="13"/>
  <c r="Q21" i="13"/>
  <c r="Q20" i="13"/>
  <c r="C85" i="2"/>
  <c r="C84" i="2"/>
  <c r="J23" i="13"/>
  <c r="C82" i="2"/>
  <c r="N164" i="7"/>
  <c r="C80" i="2"/>
  <c r="Z35" i="5"/>
  <c r="C77" i="2"/>
  <c r="I23" i="13"/>
  <c r="D160" i="13"/>
  <c r="B154" i="13"/>
  <c r="B151" i="13"/>
  <c r="B149" i="13"/>
  <c r="B147" i="13"/>
  <c r="B146" i="13"/>
  <c r="Q145" i="13"/>
  <c r="B145" i="13"/>
  <c r="B144" i="13"/>
  <c r="J142" i="13"/>
  <c r="B142" i="13"/>
  <c r="J141" i="13"/>
  <c r="B141" i="13"/>
  <c r="J139" i="13"/>
  <c r="B139" i="13"/>
  <c r="L130" i="13"/>
  <c r="Q115" i="13"/>
  <c r="K103" i="13"/>
  <c r="B79" i="13"/>
  <c r="B62" i="5"/>
  <c r="I60" i="5"/>
  <c r="Z40" i="5"/>
  <c r="Z39" i="5"/>
  <c r="Z36" i="5"/>
  <c r="V31" i="5"/>
  <c r="V30" i="5"/>
  <c r="V29" i="5"/>
  <c r="V28" i="5"/>
  <c r="C76" i="2"/>
  <c r="B11" i="13"/>
  <c r="C75" i="2"/>
  <c r="D18" i="10"/>
  <c r="C74" i="2"/>
  <c r="C6" i="10"/>
  <c r="C73" i="2"/>
  <c r="K25" i="5"/>
  <c r="C72" i="2"/>
  <c r="I25" i="5"/>
  <c r="C71" i="2"/>
  <c r="B34" i="5"/>
  <c r="C70" i="2"/>
  <c r="B33" i="5"/>
  <c r="Z34" i="5"/>
  <c r="Z38" i="5"/>
  <c r="Z37" i="5"/>
  <c r="C5" i="2"/>
  <c r="E2" i="14"/>
  <c r="V27" i="5"/>
  <c r="C69" i="2"/>
  <c r="H25" i="5"/>
  <c r="C68" i="2"/>
  <c r="AG6" i="5"/>
  <c r="C66" i="2"/>
  <c r="D48" i="2"/>
  <c r="C133" i="13"/>
  <c r="K133" i="13"/>
  <c r="C61" i="2"/>
  <c r="B72" i="14"/>
  <c r="C59" i="2"/>
  <c r="P56" i="14"/>
  <c r="C58" i="2"/>
  <c r="N48" i="5"/>
  <c r="C57" i="2"/>
  <c r="B14" i="1"/>
  <c r="W2" i="10"/>
  <c r="C55" i="2"/>
  <c r="C56" i="2"/>
  <c r="C54" i="2"/>
  <c r="C10" i="10"/>
  <c r="C53" i="2"/>
  <c r="C52" i="2"/>
  <c r="B35" i="13"/>
  <c r="C51" i="2"/>
  <c r="E30" i="10"/>
  <c r="C50" i="2"/>
  <c r="C12" i="10"/>
  <c r="C48" i="2"/>
  <c r="A28" i="1"/>
  <c r="C49" i="2"/>
  <c r="C41" i="2"/>
  <c r="C42" i="2"/>
  <c r="C43" i="2"/>
  <c r="C44" i="2"/>
  <c r="C45" i="2"/>
  <c r="C46" i="2"/>
  <c r="C47" i="2"/>
  <c r="C40" i="2"/>
  <c r="C39" i="2"/>
  <c r="C8" i="10"/>
  <c r="C37" i="2"/>
  <c r="A25" i="13"/>
  <c r="C36" i="2"/>
  <c r="B46" i="5"/>
  <c r="C35" i="2"/>
  <c r="AG7" i="5"/>
  <c r="Y27" i="5"/>
  <c r="Z27" i="5"/>
  <c r="AA27" i="5"/>
  <c r="AB27" i="5"/>
  <c r="Y28" i="5"/>
  <c r="Y29" i="5"/>
  <c r="Z29" i="5"/>
  <c r="AA29" i="5"/>
  <c r="AB29" i="5"/>
  <c r="Y30" i="5"/>
  <c r="Y31" i="5"/>
  <c r="C34" i="2"/>
  <c r="H25" i="14"/>
  <c r="C30" i="2"/>
  <c r="K23" i="13"/>
  <c r="D1" i="7"/>
  <c r="B266" i="7"/>
  <c r="Q266" i="7"/>
  <c r="B145" i="7"/>
  <c r="Q145" i="7"/>
  <c r="C29" i="2"/>
  <c r="B8" i="14"/>
  <c r="AG32" i="5"/>
  <c r="C28" i="2"/>
  <c r="C27" i="2"/>
  <c r="B23" i="13"/>
  <c r="C25" i="2"/>
  <c r="B28" i="14"/>
  <c r="C26" i="2"/>
  <c r="P45" i="14"/>
  <c r="I50" i="5"/>
  <c r="I49" i="5"/>
  <c r="B298" i="7"/>
  <c r="Q298" i="7"/>
  <c r="B275" i="7"/>
  <c r="Q275" i="7"/>
  <c r="B242" i="7"/>
  <c r="Q242" i="7"/>
  <c r="B307" i="7"/>
  <c r="Q307" i="7"/>
  <c r="B258" i="7"/>
  <c r="Q258" i="7"/>
  <c r="B200" i="7"/>
  <c r="Q200" i="7"/>
  <c r="B159" i="7"/>
  <c r="Q159" i="7"/>
  <c r="B181" i="7"/>
  <c r="Q181" i="7"/>
  <c r="B182" i="7"/>
  <c r="Q182" i="7"/>
  <c r="B218" i="7"/>
  <c r="Q218" i="7"/>
  <c r="B124" i="7"/>
  <c r="Q124" i="7"/>
  <c r="B184" i="7"/>
  <c r="Q184" i="7"/>
  <c r="B138" i="7"/>
  <c r="Q138" i="7"/>
  <c r="B122" i="7"/>
  <c r="Q122" i="7"/>
  <c r="B27" i="5"/>
  <c r="B28" i="5"/>
  <c r="B45" i="7"/>
  <c r="Q45" i="7"/>
  <c r="B18" i="7"/>
  <c r="Q18" i="7"/>
  <c r="B21" i="7"/>
  <c r="Q21" i="7"/>
  <c r="B41" i="7"/>
  <c r="Q41" i="7"/>
  <c r="B44" i="7"/>
  <c r="Q44" i="7"/>
  <c r="B67" i="7"/>
  <c r="Q67" i="7"/>
  <c r="B43" i="7"/>
  <c r="Q43" i="7"/>
  <c r="B58" i="7"/>
  <c r="Q58" i="7"/>
  <c r="B34" i="7"/>
  <c r="Q34" i="7"/>
  <c r="B9" i="7"/>
  <c r="Q9" i="7"/>
  <c r="B30" i="7"/>
  <c r="Q30" i="7"/>
  <c r="B53" i="7"/>
  <c r="Q53" i="7"/>
  <c r="B29" i="7"/>
  <c r="Q29" i="7"/>
  <c r="B54" i="7"/>
  <c r="Q54" i="7"/>
  <c r="B70" i="7"/>
  <c r="Q70" i="7"/>
  <c r="B22" i="7"/>
  <c r="Q22" i="7"/>
  <c r="B74" i="7"/>
  <c r="Q74" i="7"/>
  <c r="B71" i="7"/>
  <c r="Q71" i="7"/>
  <c r="B7" i="7"/>
  <c r="Q7" i="7"/>
  <c r="B6" i="7"/>
  <c r="Q6" i="7"/>
  <c r="B5" i="7"/>
  <c r="Q5" i="7"/>
  <c r="B4" i="7"/>
  <c r="Q4" i="7"/>
  <c r="B76" i="7"/>
  <c r="Q76" i="7"/>
  <c r="B64" i="7"/>
  <c r="Q64" i="7"/>
  <c r="B52" i="7"/>
  <c r="Q52" i="7"/>
  <c r="B40" i="7"/>
  <c r="Q40" i="7"/>
  <c r="B28" i="7"/>
  <c r="Q28" i="7"/>
  <c r="B63" i="7"/>
  <c r="Q63" i="7"/>
  <c r="B51" i="7"/>
  <c r="Q51" i="7"/>
  <c r="B39" i="7"/>
  <c r="Q39" i="7"/>
  <c r="B27" i="7"/>
  <c r="Q27" i="7"/>
  <c r="B15" i="7"/>
  <c r="Q15" i="7"/>
  <c r="B62" i="7"/>
  <c r="Q62" i="7"/>
  <c r="B50" i="7"/>
  <c r="Q50" i="7"/>
  <c r="B38" i="7"/>
  <c r="Q38" i="7"/>
  <c r="B26" i="7"/>
  <c r="Q26" i="7"/>
  <c r="B14" i="7"/>
  <c r="Q14" i="7"/>
  <c r="B73" i="7"/>
  <c r="Q73" i="7"/>
  <c r="B61" i="7"/>
  <c r="Q61" i="7"/>
  <c r="B49" i="7"/>
  <c r="Q49" i="7"/>
  <c r="B37" i="7"/>
  <c r="Q37" i="7"/>
  <c r="B25" i="7"/>
  <c r="Q25" i="7"/>
  <c r="B72" i="7"/>
  <c r="Q72" i="7"/>
  <c r="B60" i="7"/>
  <c r="Q60" i="7"/>
  <c r="B48" i="7"/>
  <c r="Q48" i="7"/>
  <c r="B36" i="7"/>
  <c r="Q36" i="7"/>
  <c r="B24" i="7"/>
  <c r="Q24" i="7"/>
  <c r="C22" i="2"/>
  <c r="I89" i="13"/>
  <c r="C21" i="2"/>
  <c r="C20" i="2"/>
  <c r="B21" i="14"/>
  <c r="C9" i="2"/>
  <c r="B9" i="13"/>
  <c r="C10" i="2"/>
  <c r="B10" i="14"/>
  <c r="C11" i="2"/>
  <c r="B12" i="5"/>
  <c r="C12" i="2"/>
  <c r="B13" i="13"/>
  <c r="C13" i="2"/>
  <c r="B14" i="14"/>
  <c r="C14" i="2"/>
  <c r="B15" i="14"/>
  <c r="C15" i="2"/>
  <c r="B16" i="14"/>
  <c r="C16" i="2"/>
  <c r="B17" i="5"/>
  <c r="C17" i="2"/>
  <c r="B18" i="14"/>
  <c r="C18" i="2"/>
  <c r="B19" i="14"/>
  <c r="C19" i="2"/>
  <c r="B23" i="14"/>
  <c r="C7" i="2"/>
  <c r="M2" i="13"/>
  <c r="C3" i="2"/>
  <c r="Z28" i="14"/>
  <c r="AA28" i="14"/>
  <c r="AB28" i="14"/>
  <c r="S47" i="13"/>
  <c r="S61" i="13"/>
  <c r="S64" i="13"/>
  <c r="B227" i="7"/>
  <c r="Q227" i="7"/>
  <c r="B143" i="7"/>
  <c r="Q143" i="7"/>
  <c r="B115" i="7"/>
  <c r="Q115" i="7"/>
  <c r="B201" i="7"/>
  <c r="Q201" i="7"/>
  <c r="B139" i="7"/>
  <c r="Q139" i="7"/>
  <c r="B190" i="7"/>
  <c r="Q190" i="7"/>
  <c r="B305" i="7"/>
  <c r="Q305" i="7"/>
  <c r="B313" i="7"/>
  <c r="Q313" i="7"/>
  <c r="B317" i="7"/>
  <c r="Q317" i="7"/>
  <c r="B241" i="7"/>
  <c r="Q241" i="7"/>
  <c r="B327" i="7"/>
  <c r="M20" i="10"/>
  <c r="B130" i="7"/>
  <c r="Q130" i="7"/>
  <c r="B219" i="7"/>
  <c r="Q219" i="7"/>
  <c r="B119" i="7"/>
  <c r="Q119" i="7"/>
  <c r="B183" i="7"/>
  <c r="Q183" i="7"/>
  <c r="B174" i="7"/>
  <c r="Q174" i="7"/>
  <c r="B189" i="7"/>
  <c r="Q189" i="7"/>
  <c r="B230" i="7"/>
  <c r="Q230" i="7"/>
  <c r="F42" i="13"/>
  <c r="B188" i="7"/>
  <c r="Q188" i="7"/>
  <c r="B274" i="7"/>
  <c r="Q274" i="7"/>
  <c r="B252" i="7"/>
  <c r="Q252" i="7"/>
  <c r="B216" i="7"/>
  <c r="Q216" i="7"/>
  <c r="B210" i="7"/>
  <c r="Q210" i="7"/>
  <c r="B215" i="7"/>
  <c r="Q215" i="7"/>
  <c r="B199" i="7"/>
  <c r="Q199" i="7"/>
  <c r="B135" i="7"/>
  <c r="Q135" i="7"/>
  <c r="B209" i="7"/>
  <c r="Q209" i="7"/>
  <c r="B186" i="7"/>
  <c r="Q186" i="7"/>
  <c r="B178" i="7"/>
  <c r="Q178" i="7"/>
  <c r="B292" i="7"/>
  <c r="Q292" i="7"/>
  <c r="B288" i="7"/>
  <c r="Q288" i="7"/>
  <c r="B268" i="7"/>
  <c r="Q268" i="7"/>
  <c r="B262" i="7"/>
  <c r="Q262" i="7"/>
  <c r="B297" i="7"/>
  <c r="Q297" i="7"/>
  <c r="B312" i="7"/>
  <c r="Q312" i="7"/>
  <c r="B175" i="7"/>
  <c r="Q175" i="7"/>
  <c r="B207" i="7"/>
  <c r="Q207" i="7"/>
  <c r="B204" i="7"/>
  <c r="Q204" i="7"/>
  <c r="B162" i="7"/>
  <c r="Q162" i="7"/>
  <c r="B171" i="7"/>
  <c r="Q171" i="7"/>
  <c r="B151" i="7"/>
  <c r="Z42" i="13"/>
  <c r="B149" i="7"/>
  <c r="Z46" i="13"/>
  <c r="B177" i="7"/>
  <c r="Q177" i="7"/>
  <c r="B194" i="7"/>
  <c r="Q194" i="7"/>
  <c r="B176" i="7"/>
  <c r="Q176" i="7"/>
  <c r="B244" i="7"/>
  <c r="Q244" i="7"/>
  <c r="B311" i="7"/>
  <c r="Q311" i="7"/>
  <c r="B315" i="7"/>
  <c r="Q315" i="7"/>
  <c r="B250" i="7"/>
  <c r="Q250" i="7"/>
  <c r="B276" i="7"/>
  <c r="Q276" i="7"/>
  <c r="B23" i="7"/>
  <c r="Q23" i="7"/>
  <c r="B46" i="7"/>
  <c r="Q46" i="7"/>
  <c r="B31" i="7"/>
  <c r="Q31" i="7"/>
  <c r="B13" i="7"/>
  <c r="Q13" i="7"/>
  <c r="B17" i="7"/>
  <c r="Q17" i="7"/>
  <c r="B127" i="7"/>
  <c r="Q127" i="7"/>
  <c r="B147" i="7"/>
  <c r="Q147" i="7"/>
  <c r="B233" i="7"/>
  <c r="Q233" i="7"/>
  <c r="B203" i="7"/>
  <c r="Q203" i="7"/>
  <c r="B222" i="7"/>
  <c r="Q222" i="7"/>
  <c r="B170" i="7"/>
  <c r="Q170" i="7"/>
  <c r="B148" i="7"/>
  <c r="Z43" i="13"/>
  <c r="B126" i="7"/>
  <c r="Q126" i="7"/>
  <c r="B154" i="7"/>
  <c r="Q154" i="7"/>
  <c r="B294" i="7"/>
  <c r="Q294" i="7"/>
  <c r="B279" i="7"/>
  <c r="Q279" i="7"/>
  <c r="B299" i="7"/>
  <c r="Q299" i="7"/>
  <c r="B267" i="7"/>
  <c r="Q267" i="7"/>
  <c r="B295" i="7"/>
  <c r="Q295" i="7"/>
  <c r="B273" i="7"/>
  <c r="Q273" i="7"/>
  <c r="B240" i="7"/>
  <c r="Q240" i="7"/>
  <c r="B192" i="7"/>
  <c r="Q192" i="7"/>
  <c r="B173" i="7"/>
  <c r="Q173" i="7"/>
  <c r="B206" i="7"/>
  <c r="Q206" i="7"/>
  <c r="B150" i="7"/>
  <c r="B226" i="7"/>
  <c r="Q226" i="7"/>
  <c r="B165" i="7"/>
  <c r="Q165" i="7"/>
  <c r="B185" i="7"/>
  <c r="Q185" i="7"/>
  <c r="B134" i="7"/>
  <c r="Q134" i="7"/>
  <c r="B164" i="7"/>
  <c r="Q164" i="7"/>
  <c r="B293" i="7"/>
  <c r="Q293" i="7"/>
  <c r="B278" i="7"/>
  <c r="Q278" i="7"/>
  <c r="B287" i="7"/>
  <c r="Q287" i="7"/>
  <c r="B326" i="7"/>
  <c r="P20" i="10"/>
  <c r="B261" i="7"/>
  <c r="Q261" i="7"/>
  <c r="B296" i="7"/>
  <c r="Q296" i="7"/>
  <c r="B146" i="7"/>
  <c r="Q146" i="7"/>
  <c r="B168" i="7"/>
  <c r="Q168" i="7"/>
  <c r="B158" i="7"/>
  <c r="Q158" i="7"/>
  <c r="B179" i="7"/>
  <c r="Q179" i="7"/>
  <c r="B161" i="7"/>
  <c r="Q161" i="7"/>
  <c r="B142" i="7"/>
  <c r="Q142" i="7"/>
  <c r="B202" i="7"/>
  <c r="Q202" i="7"/>
  <c r="B141" i="7"/>
  <c r="Q141" i="7"/>
  <c r="B196" i="7"/>
  <c r="Q196" i="7"/>
  <c r="B217" i="7"/>
  <c r="Q217" i="7"/>
  <c r="B152" i="7"/>
  <c r="Q152" i="7"/>
  <c r="B256" i="7"/>
  <c r="Q256" i="7"/>
  <c r="B247" i="7"/>
  <c r="Q247" i="7"/>
  <c r="B272" i="7"/>
  <c r="Q272" i="7"/>
  <c r="B32" i="7"/>
  <c r="Q32" i="7"/>
  <c r="B42" i="7"/>
  <c r="Q42" i="7"/>
  <c r="B197" i="7"/>
  <c r="Q197" i="7"/>
  <c r="B156" i="7"/>
  <c r="Q156" i="7"/>
  <c r="B220" i="7"/>
  <c r="Q220" i="7"/>
  <c r="B229" i="7"/>
  <c r="Q229" i="7"/>
  <c r="B208" i="7"/>
  <c r="Q208" i="7"/>
  <c r="B211" i="7"/>
  <c r="Q211" i="7"/>
  <c r="B136" i="7"/>
  <c r="Q136" i="7"/>
  <c r="B224" i="7"/>
  <c r="Q224" i="7"/>
  <c r="B140" i="7"/>
  <c r="Q140" i="7"/>
  <c r="B314" i="7"/>
  <c r="Q314" i="7"/>
  <c r="B246" i="7"/>
  <c r="Q246" i="7"/>
  <c r="B251" i="7"/>
  <c r="Q251" i="7"/>
  <c r="B253" i="7"/>
  <c r="Q253" i="7"/>
  <c r="B303" i="7"/>
  <c r="Q303" i="7"/>
  <c r="B260" i="7"/>
  <c r="Q260" i="7"/>
  <c r="B59" i="7"/>
  <c r="Q59" i="7"/>
  <c r="B56" i="7"/>
  <c r="Q56" i="7"/>
  <c r="B66" i="7"/>
  <c r="Q66" i="7"/>
  <c r="B114" i="7"/>
  <c r="Q114" i="7"/>
  <c r="B125" i="7"/>
  <c r="AQ45" i="13"/>
  <c r="B205" i="7"/>
  <c r="Q205" i="7"/>
  <c r="B144" i="7"/>
  <c r="Q144" i="7"/>
  <c r="B172" i="7"/>
  <c r="Q172" i="7"/>
  <c r="B167" i="7"/>
  <c r="Q167" i="7"/>
  <c r="B160" i="7"/>
  <c r="Q160" i="7"/>
  <c r="B166" i="7"/>
  <c r="Q166" i="7"/>
  <c r="B117" i="7"/>
  <c r="Q117" i="7"/>
  <c r="B157" i="7"/>
  <c r="Q157" i="7"/>
  <c r="B212" i="7"/>
  <c r="Q212" i="7"/>
  <c r="B235" i="7"/>
  <c r="Q235" i="7"/>
  <c r="B304" i="7"/>
  <c r="Q304" i="7"/>
  <c r="B239" i="7"/>
  <c r="Q239" i="7"/>
  <c r="B300" i="7"/>
  <c r="Q300" i="7"/>
  <c r="B302" i="7"/>
  <c r="Q302" i="7"/>
  <c r="B245" i="7"/>
  <c r="Q245" i="7"/>
  <c r="B248" i="7"/>
  <c r="Q248" i="7"/>
  <c r="C86" i="2"/>
  <c r="G23" i="13"/>
  <c r="C94" i="2"/>
  <c r="E41" i="13"/>
  <c r="C100" i="2"/>
  <c r="C114" i="2"/>
  <c r="B132" i="7"/>
  <c r="Q132" i="7"/>
  <c r="B169" i="7"/>
  <c r="Q169" i="7"/>
  <c r="B163" i="7"/>
  <c r="Q163" i="7"/>
  <c r="B225" i="7"/>
  <c r="Q225" i="7"/>
  <c r="B195" i="7"/>
  <c r="Q195" i="7"/>
  <c r="B214" i="7"/>
  <c r="Q214" i="7"/>
  <c r="B128" i="7"/>
  <c r="Q128" i="7"/>
  <c r="B271" i="7"/>
  <c r="Q271" i="7"/>
  <c r="B290" i="7"/>
  <c r="Q290" i="7"/>
  <c r="B283" i="7"/>
  <c r="Q283" i="7"/>
  <c r="B264" i="7"/>
  <c r="Q264" i="7"/>
  <c r="B280" i="7"/>
  <c r="Q280" i="7"/>
  <c r="B110" i="7"/>
  <c r="Q110" i="7"/>
  <c r="B103" i="7"/>
  <c r="Q103" i="7"/>
  <c r="B102" i="7"/>
  <c r="Q102" i="7"/>
  <c r="C112" i="2"/>
  <c r="B310" i="7"/>
  <c r="Q310" i="7"/>
  <c r="B238" i="7"/>
  <c r="Q238" i="7"/>
  <c r="B255" i="7"/>
  <c r="Q255" i="7"/>
  <c r="B309" i="7"/>
  <c r="Q309" i="7"/>
  <c r="B237" i="7"/>
  <c r="Q237" i="7"/>
  <c r="B243" i="7"/>
  <c r="Q243" i="7"/>
  <c r="B308" i="7"/>
  <c r="Q308" i="7"/>
  <c r="B236" i="7"/>
  <c r="Q236" i="7"/>
  <c r="C111" i="2"/>
  <c r="B109" i="7"/>
  <c r="Q109" i="7"/>
  <c r="B101" i="7"/>
  <c r="Q101" i="7"/>
  <c r="C113" i="2"/>
  <c r="C83" i="2"/>
  <c r="N176" i="7"/>
  <c r="C106" i="2"/>
  <c r="C107" i="2"/>
  <c r="C110" i="2"/>
  <c r="B44" i="13"/>
  <c r="B100" i="7"/>
  <c r="Q100" i="7"/>
  <c r="C108" i="2"/>
  <c r="B108" i="7"/>
  <c r="Q108" i="7"/>
  <c r="B131" i="7"/>
  <c r="Q131" i="7"/>
  <c r="B257" i="7"/>
  <c r="Q257" i="7"/>
  <c r="B316" i="7"/>
  <c r="Q316" i="7"/>
  <c r="B259" i="7"/>
  <c r="Q259" i="7"/>
  <c r="B265" i="7"/>
  <c r="Q265" i="7"/>
  <c r="B263" i="7"/>
  <c r="Q263" i="7"/>
  <c r="B281" i="7"/>
  <c r="Q281" i="7"/>
  <c r="B289" i="7"/>
  <c r="Q289" i="7"/>
  <c r="B286" i="7"/>
  <c r="Q286" i="7"/>
  <c r="B282" i="7"/>
  <c r="Q282" i="7"/>
  <c r="B254" i="7"/>
  <c r="Q254" i="7"/>
  <c r="B285" i="7"/>
  <c r="Q285" i="7"/>
  <c r="B306" i="7"/>
  <c r="Q306" i="7"/>
  <c r="B277" i="7"/>
  <c r="Q277" i="7"/>
  <c r="B284" i="7"/>
  <c r="Q284" i="7"/>
  <c r="B107" i="7"/>
  <c r="Q107" i="7"/>
  <c r="C32" i="2"/>
  <c r="L74" i="7"/>
  <c r="O74" i="7"/>
  <c r="C78" i="2"/>
  <c r="Y66" i="13"/>
  <c r="B106" i="7"/>
  <c r="Q106" i="7"/>
  <c r="C115" i="2"/>
  <c r="C109" i="2"/>
  <c r="B105" i="7"/>
  <c r="Q105" i="7"/>
  <c r="B129" i="7"/>
  <c r="Q129" i="7"/>
  <c r="C67" i="2"/>
  <c r="B22" i="14"/>
  <c r="B111" i="7"/>
  <c r="Q111" i="7"/>
  <c r="B104" i="7"/>
  <c r="Q104" i="7"/>
  <c r="C107" i="5"/>
  <c r="C104" i="5"/>
  <c r="S65" i="13"/>
  <c r="S54" i="13"/>
  <c r="S59" i="13"/>
  <c r="S69" i="13"/>
  <c r="S62" i="13"/>
  <c r="S52" i="13"/>
  <c r="Q150" i="7"/>
  <c r="Z45" i="13"/>
  <c r="Y4" i="13"/>
  <c r="C118" i="2"/>
  <c r="L2" i="1"/>
  <c r="AQ41" i="13"/>
  <c r="C72" i="5"/>
  <c r="D25" i="14"/>
  <c r="B75" i="7"/>
  <c r="Q75" i="7"/>
  <c r="B11" i="7"/>
  <c r="Q11" i="7"/>
  <c r="B33" i="7"/>
  <c r="Q33" i="7"/>
  <c r="B19" i="7"/>
  <c r="Q19" i="7"/>
  <c r="B180" i="7"/>
  <c r="Q180" i="7"/>
  <c r="C81" i="2"/>
  <c r="E2" i="13"/>
  <c r="B3" i="7"/>
  <c r="Q3" i="7"/>
  <c r="B35" i="7"/>
  <c r="Q35" i="7"/>
  <c r="B57" i="7"/>
  <c r="Q57" i="7"/>
  <c r="B98" i="7"/>
  <c r="B120" i="7"/>
  <c r="Q120" i="7"/>
  <c r="B16" i="7"/>
  <c r="Q16" i="7"/>
  <c r="B47" i="7"/>
  <c r="Q47" i="7"/>
  <c r="B10" i="7"/>
  <c r="Q10" i="7"/>
  <c r="B12" i="7"/>
  <c r="Q12" i="7"/>
  <c r="B137" i="7"/>
  <c r="Q137" i="7"/>
  <c r="C105" i="2"/>
  <c r="B118" i="7"/>
  <c r="Q118" i="7"/>
  <c r="I110" i="5"/>
  <c r="Z29" i="14"/>
  <c r="AA29" i="14"/>
  <c r="AB29" i="14"/>
  <c r="B143" i="14"/>
  <c r="B130" i="14"/>
  <c r="B132" i="14"/>
  <c r="B134" i="14"/>
  <c r="AG26" i="14"/>
  <c r="L23" i="14"/>
  <c r="C138" i="5"/>
  <c r="C135" i="5"/>
  <c r="Q151" i="7"/>
  <c r="B112" i="7"/>
  <c r="Q112" i="7"/>
  <c r="B249" i="7"/>
  <c r="Q249" i="7"/>
  <c r="B69" i="7"/>
  <c r="Q69" i="7"/>
  <c r="B121" i="7"/>
  <c r="B231" i="7"/>
  <c r="Q231" i="7"/>
  <c r="B193" i="7"/>
  <c r="Q193" i="7"/>
  <c r="B68" i="7"/>
  <c r="Q68" i="7"/>
  <c r="B232" i="7"/>
  <c r="Q232" i="7"/>
  <c r="B113" i="7"/>
  <c r="Q113" i="7"/>
  <c r="C63" i="2"/>
  <c r="B99" i="14"/>
  <c r="AQ43" i="13"/>
  <c r="C116" i="2"/>
  <c r="P22" i="11"/>
  <c r="AD3" i="13"/>
  <c r="AD4" i="13"/>
  <c r="AD5" i="13"/>
  <c r="C102" i="2"/>
  <c r="C33" i="2"/>
  <c r="AD6" i="14"/>
  <c r="B8" i="7"/>
  <c r="Q8" i="7"/>
  <c r="B55" i="7"/>
  <c r="Q55" i="7"/>
  <c r="B65" i="7"/>
  <c r="Q65" i="7"/>
  <c r="B198" i="7"/>
  <c r="Q198" i="7"/>
  <c r="B221" i="7"/>
  <c r="Q221" i="7"/>
  <c r="B269" i="7"/>
  <c r="Q269" i="7"/>
  <c r="Z44" i="13"/>
  <c r="C14" i="10"/>
  <c r="Q148" i="7"/>
  <c r="C31" i="2"/>
  <c r="AD5" i="14"/>
  <c r="C103" i="2"/>
  <c r="C96" i="2"/>
  <c r="C104" i="2"/>
  <c r="C117" i="2"/>
  <c r="AC2" i="13"/>
  <c r="Y5" i="13"/>
  <c r="C60" i="2"/>
  <c r="P51" i="14"/>
  <c r="C99" i="2"/>
  <c r="AE6" i="14"/>
  <c r="C87" i="2"/>
  <c r="E29" i="13"/>
  <c r="C8" i="2"/>
  <c r="R30" i="10"/>
  <c r="C38" i="2"/>
  <c r="A52" i="14"/>
  <c r="B213" i="7"/>
  <c r="Q213" i="7"/>
  <c r="B301" i="7"/>
  <c r="Q301" i="7"/>
  <c r="N99" i="14"/>
  <c r="X4" i="13"/>
  <c r="X3" i="13"/>
  <c r="X5" i="13"/>
  <c r="C23" i="2"/>
  <c r="B28" i="13"/>
  <c r="Q149" i="7"/>
  <c r="X2" i="13"/>
  <c r="AC5" i="13"/>
  <c r="AC4" i="13"/>
  <c r="B20" i="7"/>
  <c r="Q20" i="7"/>
  <c r="B223" i="7"/>
  <c r="Q223" i="7"/>
  <c r="AC3" i="13"/>
  <c r="Q125" i="7"/>
  <c r="B133" i="7"/>
  <c r="Q133" i="7"/>
  <c r="B191" i="7"/>
  <c r="Q191" i="7"/>
  <c r="B153" i="7"/>
  <c r="Q153" i="7"/>
  <c r="B116" i="7"/>
  <c r="Q116" i="7"/>
  <c r="B270" i="7"/>
  <c r="Q270" i="7"/>
  <c r="B291" i="7"/>
  <c r="Q291" i="7"/>
  <c r="C98" i="2"/>
  <c r="AE5" i="14"/>
  <c r="B123" i="7"/>
  <c r="B228" i="7"/>
  <c r="Q228" i="7"/>
  <c r="B155" i="7"/>
  <c r="Q155" i="7"/>
  <c r="B187" i="7"/>
  <c r="Q187" i="7"/>
  <c r="B318" i="7"/>
  <c r="Q318" i="7"/>
  <c r="C65" i="2"/>
  <c r="B126" i="14"/>
  <c r="C62" i="2"/>
  <c r="C119" i="2"/>
  <c r="B86" i="7"/>
  <c r="Q86" i="7"/>
  <c r="J42" i="13"/>
  <c r="B1" i="16"/>
  <c r="A1" i="16"/>
  <c r="S53" i="13"/>
  <c r="S66" i="13"/>
  <c r="S55" i="13"/>
  <c r="S67" i="13"/>
  <c r="E25" i="13"/>
  <c r="S56" i="13"/>
  <c r="P29" i="13"/>
  <c r="S60" i="13"/>
  <c r="S63" i="13"/>
  <c r="Q45" i="13"/>
  <c r="P31" i="13"/>
  <c r="S58" i="13"/>
  <c r="Q22" i="13"/>
  <c r="Q17" i="13"/>
  <c r="P32" i="13"/>
  <c r="S68" i="13"/>
  <c r="S57" i="13"/>
  <c r="S50" i="13"/>
  <c r="U47" i="13"/>
  <c r="AB49" i="13"/>
  <c r="AB50" i="13"/>
  <c r="AI44" i="13"/>
  <c r="Q43" i="13"/>
  <c r="Q41" i="13"/>
  <c r="Q42" i="13"/>
  <c r="Q44" i="13"/>
  <c r="C132" i="5"/>
  <c r="C110" i="5"/>
  <c r="C113" i="5"/>
  <c r="I107" i="5"/>
  <c r="Z30" i="5"/>
  <c r="AA30" i="5"/>
  <c r="AB30" i="5"/>
  <c r="Z31" i="5"/>
  <c r="AA31" i="5"/>
  <c r="AB31" i="5"/>
  <c r="Z28" i="5"/>
  <c r="AA28" i="5"/>
  <c r="AB28" i="5"/>
  <c r="E148" i="14"/>
  <c r="E121" i="14"/>
  <c r="G121" i="14"/>
  <c r="B116" i="14"/>
  <c r="B112" i="14"/>
  <c r="B114" i="14"/>
  <c r="B103" i="14"/>
  <c r="B107" i="14"/>
  <c r="B105" i="14"/>
  <c r="N105" i="14"/>
  <c r="S121" i="14"/>
  <c r="N107" i="14"/>
  <c r="N103" i="14"/>
  <c r="B139" i="14"/>
  <c r="N112" i="14"/>
  <c r="B141" i="14"/>
  <c r="N114" i="14"/>
  <c r="Q121" i="14"/>
  <c r="G148" i="14"/>
  <c r="C147" i="5"/>
  <c r="C144" i="5"/>
  <c r="C128" i="5"/>
  <c r="C141" i="5"/>
  <c r="B11" i="14"/>
  <c r="AI43" i="13"/>
  <c r="I58" i="5"/>
  <c r="N159" i="7"/>
  <c r="O101" i="7"/>
  <c r="B11" i="5"/>
  <c r="I52" i="5"/>
  <c r="AE67" i="13"/>
  <c r="AE69" i="13"/>
  <c r="AE68" i="13"/>
  <c r="O111" i="7"/>
  <c r="L161" i="7"/>
  <c r="L67" i="7"/>
  <c r="O67" i="7"/>
  <c r="B15" i="13"/>
  <c r="B8" i="13"/>
  <c r="P48" i="14"/>
  <c r="L91" i="7"/>
  <c r="O91" i="7"/>
  <c r="B15" i="5"/>
  <c r="D23" i="13"/>
  <c r="B30" i="14"/>
  <c r="A25" i="14"/>
  <c r="G25" i="5"/>
  <c r="V2" i="14"/>
  <c r="B30" i="5"/>
  <c r="AA6" i="5"/>
  <c r="O141" i="7"/>
  <c r="N134" i="7"/>
  <c r="O134" i="7"/>
  <c r="L85" i="7"/>
  <c r="O85" i="7"/>
  <c r="P47" i="14"/>
  <c r="L216" i="7"/>
  <c r="N133" i="7"/>
  <c r="O133" i="7"/>
  <c r="O143" i="7"/>
  <c r="B31" i="5"/>
  <c r="U4" i="13"/>
  <c r="B16" i="5"/>
  <c r="L93" i="7"/>
  <c r="O93" i="7"/>
  <c r="B31" i="14"/>
  <c r="L79" i="7"/>
  <c r="O79" i="7"/>
  <c r="L94" i="7"/>
  <c r="O94" i="7"/>
  <c r="H25" i="13"/>
  <c r="AI42" i="13"/>
  <c r="B29" i="13"/>
  <c r="I53" i="5"/>
  <c r="L83" i="7"/>
  <c r="O83" i="7"/>
  <c r="L89" i="7"/>
  <c r="O89" i="7"/>
  <c r="AN45" i="13"/>
  <c r="L217" i="7"/>
  <c r="L76" i="7"/>
  <c r="O76" i="7"/>
  <c r="B34" i="14"/>
  <c r="L75" i="7"/>
  <c r="O75" i="7"/>
  <c r="L80" i="7"/>
  <c r="O80" i="7"/>
  <c r="L96" i="7"/>
  <c r="O96" i="7"/>
  <c r="L84" i="7"/>
  <c r="O84" i="7"/>
  <c r="L78" i="7"/>
  <c r="O78" i="7"/>
  <c r="A25" i="5"/>
  <c r="L97" i="7"/>
  <c r="O97" i="7"/>
  <c r="L82" i="7"/>
  <c r="O82" i="7"/>
  <c r="B42" i="14"/>
  <c r="L81" i="7"/>
  <c r="O81" i="7"/>
  <c r="E26" i="13"/>
  <c r="P49" i="14"/>
  <c r="Q2" i="10"/>
  <c r="B13" i="14"/>
  <c r="AA69" i="13"/>
  <c r="N210" i="7"/>
  <c r="B20" i="5"/>
  <c r="L43" i="7"/>
  <c r="O43" i="7"/>
  <c r="B25" i="5"/>
  <c r="L191" i="7"/>
  <c r="Y69" i="13"/>
  <c r="N224" i="7"/>
  <c r="B14" i="5"/>
  <c r="B18" i="5"/>
  <c r="N127" i="7"/>
  <c r="O127" i="7"/>
  <c r="B13" i="5"/>
  <c r="N208" i="7"/>
  <c r="L210" i="7"/>
  <c r="O107" i="7"/>
  <c r="B12" i="14"/>
  <c r="I85" i="13"/>
  <c r="B77" i="13"/>
  <c r="L55" i="7"/>
  <c r="O55" i="7"/>
  <c r="B12" i="13"/>
  <c r="L59" i="7"/>
  <c r="O59" i="7"/>
  <c r="B31" i="11"/>
  <c r="L44" i="7"/>
  <c r="O44" i="7"/>
  <c r="L46" i="7"/>
  <c r="O46" i="7"/>
  <c r="O100" i="7"/>
  <c r="L37" i="7"/>
  <c r="O37" i="7"/>
  <c r="O118" i="7"/>
  <c r="Y65" i="13"/>
  <c r="Z65" i="13"/>
  <c r="AE65" i="13"/>
  <c r="AN44" i="13"/>
  <c r="N221" i="7"/>
  <c r="L201" i="7"/>
  <c r="N178" i="7"/>
  <c r="L60" i="7"/>
  <c r="O60" i="7"/>
  <c r="L212" i="7"/>
  <c r="O117" i="7"/>
  <c r="N187" i="7"/>
  <c r="O137" i="7"/>
  <c r="O110" i="7"/>
  <c r="O105" i="7"/>
  <c r="O142" i="7"/>
  <c r="O136" i="7"/>
  <c r="B19" i="5"/>
  <c r="B37" i="5"/>
  <c r="L88" i="7"/>
  <c r="O88" i="7"/>
  <c r="L90" i="7"/>
  <c r="O90" i="7"/>
  <c r="L95" i="7"/>
  <c r="O95" i="7"/>
  <c r="L224" i="7"/>
  <c r="L87" i="7"/>
  <c r="O87" i="7"/>
  <c r="O109" i="7"/>
  <c r="N132" i="7"/>
  <c r="O132" i="7"/>
  <c r="J25" i="14"/>
  <c r="O115" i="7"/>
  <c r="AG5" i="5"/>
  <c r="Y67" i="13"/>
  <c r="L70" i="7"/>
  <c r="O70" i="7"/>
  <c r="B62" i="13"/>
  <c r="AI46" i="13"/>
  <c r="B37" i="14"/>
  <c r="B27" i="14"/>
  <c r="I77" i="13"/>
  <c r="L72" i="7"/>
  <c r="O72" i="7"/>
  <c r="L223" i="7"/>
  <c r="I82" i="13"/>
  <c r="L221" i="7"/>
  <c r="Z69" i="13"/>
  <c r="L69" i="7"/>
  <c r="O69" i="7"/>
  <c r="L73" i="7"/>
  <c r="O73" i="7"/>
  <c r="L220" i="7"/>
  <c r="L225" i="7"/>
  <c r="O120" i="7"/>
  <c r="O114" i="7"/>
  <c r="Q2" i="11"/>
  <c r="B25" i="13"/>
  <c r="Z67" i="13"/>
  <c r="L219" i="7"/>
  <c r="O103" i="7"/>
  <c r="AI45" i="13"/>
  <c r="L71" i="7"/>
  <c r="O71" i="7"/>
  <c r="L218" i="7"/>
  <c r="L92" i="7"/>
  <c r="O92" i="7"/>
  <c r="L77" i="7"/>
  <c r="O77" i="7"/>
  <c r="L222" i="7"/>
  <c r="L86" i="7"/>
  <c r="O86" i="7"/>
  <c r="O146" i="7"/>
  <c r="O116" i="7"/>
  <c r="O108" i="7"/>
  <c r="O102" i="7"/>
  <c r="B30" i="10"/>
  <c r="B14" i="13"/>
  <c r="B25" i="14"/>
  <c r="AA65" i="13"/>
  <c r="AA67" i="13"/>
  <c r="L68" i="7"/>
  <c r="O68" i="7"/>
  <c r="O104" i="7"/>
  <c r="O119" i="7"/>
  <c r="O113" i="7"/>
  <c r="O112" i="7"/>
  <c r="F25" i="14"/>
  <c r="T44" i="14"/>
  <c r="N189" i="7"/>
  <c r="N186" i="7"/>
  <c r="N182" i="7"/>
  <c r="N212" i="7"/>
  <c r="N218" i="7"/>
  <c r="E25" i="5"/>
  <c r="B26" i="13"/>
  <c r="E2" i="5"/>
  <c r="L25" i="14"/>
  <c r="N161" i="7"/>
  <c r="N158" i="7"/>
  <c r="P10" i="11"/>
  <c r="N215" i="7"/>
  <c r="N167" i="7"/>
  <c r="N223" i="7"/>
  <c r="N173" i="7"/>
  <c r="N180" i="7"/>
  <c r="N163" i="7"/>
  <c r="B17" i="14"/>
  <c r="B29" i="5"/>
  <c r="N179" i="7"/>
  <c r="N211" i="7"/>
  <c r="Z68" i="13"/>
  <c r="O106" i="7"/>
  <c r="N177" i="7"/>
  <c r="N216" i="7"/>
  <c r="N200" i="7"/>
  <c r="N222" i="7"/>
  <c r="N214" i="7"/>
  <c r="N171" i="7"/>
  <c r="N217" i="7"/>
  <c r="B10" i="13"/>
  <c r="N154" i="7"/>
  <c r="N196" i="7"/>
  <c r="N225" i="7"/>
  <c r="AA68" i="13"/>
  <c r="Y68" i="13"/>
  <c r="BA51" i="13"/>
  <c r="N209" i="7"/>
  <c r="N220" i="7"/>
  <c r="N162" i="7"/>
  <c r="N202" i="7"/>
  <c r="N195" i="7"/>
  <c r="I87" i="13"/>
  <c r="N172" i="7"/>
  <c r="N155" i="7"/>
  <c r="B8" i="5"/>
  <c r="N204" i="7"/>
  <c r="N160" i="7"/>
  <c r="N166" i="7"/>
  <c r="N205" i="7"/>
  <c r="N207" i="7"/>
  <c r="N156" i="7"/>
  <c r="N174" i="7"/>
  <c r="B9" i="5"/>
  <c r="N153" i="7"/>
  <c r="N194" i="7"/>
  <c r="N169" i="7"/>
  <c r="I51" i="5"/>
  <c r="N206" i="7"/>
  <c r="N213" i="7"/>
  <c r="N168" i="7"/>
  <c r="B22" i="5"/>
  <c r="N175" i="7"/>
  <c r="N199" i="7"/>
  <c r="N191" i="7"/>
  <c r="N183" i="7"/>
  <c r="B27" i="13"/>
  <c r="N188" i="7"/>
  <c r="N203" i="7"/>
  <c r="N152" i="7"/>
  <c r="B10" i="5"/>
  <c r="I86" i="13"/>
  <c r="B33" i="14"/>
  <c r="N165" i="7"/>
  <c r="N201" i="7"/>
  <c r="N192" i="7"/>
  <c r="C100" i="5"/>
  <c r="P2" i="5"/>
  <c r="N197" i="7"/>
  <c r="N193" i="7"/>
  <c r="N190" i="7"/>
  <c r="N157" i="7"/>
  <c r="B9" i="14"/>
  <c r="P46" i="14"/>
  <c r="N184" i="7"/>
  <c r="N198" i="7"/>
  <c r="N170" i="7"/>
  <c r="N181" i="7"/>
  <c r="N185" i="7"/>
  <c r="N219" i="7"/>
  <c r="N72" i="14"/>
  <c r="I72" i="5"/>
  <c r="L35" i="7"/>
  <c r="O35" i="7"/>
  <c r="D20" i="10"/>
  <c r="Q98" i="7"/>
  <c r="K48" i="5"/>
  <c r="Q44" i="14"/>
  <c r="L200" i="7"/>
  <c r="L184" i="7"/>
  <c r="L183" i="7"/>
  <c r="L38" i="7"/>
  <c r="O38" i="7"/>
  <c r="L186" i="7"/>
  <c r="L198" i="7"/>
  <c r="L162" i="7"/>
  <c r="O147" i="7"/>
  <c r="L152" i="7"/>
  <c r="L10" i="7"/>
  <c r="O10" i="7"/>
  <c r="L175" i="7"/>
  <c r="L32" i="7"/>
  <c r="O32" i="7"/>
  <c r="O138" i="7"/>
  <c r="L157" i="7"/>
  <c r="O157" i="7"/>
  <c r="L4" i="7"/>
  <c r="O4" i="7"/>
  <c r="L154" i="7"/>
  <c r="O154" i="7"/>
  <c r="L12" i="7"/>
  <c r="O12" i="7"/>
  <c r="L30" i="7"/>
  <c r="O30" i="7"/>
  <c r="L167" i="7"/>
  <c r="L27" i="7"/>
  <c r="O27" i="7"/>
  <c r="L19" i="7"/>
  <c r="O19" i="7"/>
  <c r="L163" i="7"/>
  <c r="O163" i="7"/>
  <c r="L156" i="7"/>
  <c r="O156" i="7"/>
  <c r="L8" i="7"/>
  <c r="O8" i="7"/>
  <c r="L176" i="7"/>
  <c r="O176" i="7"/>
  <c r="L17" i="7"/>
  <c r="O17" i="7"/>
  <c r="L34" i="7"/>
  <c r="O34" i="7"/>
  <c r="L7" i="7"/>
  <c r="O7" i="7"/>
  <c r="L182" i="7"/>
  <c r="O182" i="7"/>
  <c r="L180" i="7"/>
  <c r="O180" i="7"/>
  <c r="L29" i="7"/>
  <c r="O29" i="7"/>
  <c r="L172" i="7"/>
  <c r="O140" i="7"/>
  <c r="L13" i="7"/>
  <c r="O13" i="7"/>
  <c r="L28" i="7"/>
  <c r="O28" i="7"/>
  <c r="L155" i="7"/>
  <c r="O155" i="7"/>
  <c r="N131" i="7"/>
  <c r="O131" i="7"/>
  <c r="L25" i="7"/>
  <c r="O25" i="7"/>
  <c r="L3" i="7"/>
  <c r="O3" i="7"/>
  <c r="L171" i="7"/>
  <c r="O171" i="7"/>
  <c r="O139" i="7"/>
  <c r="L11" i="7"/>
  <c r="O11" i="7"/>
  <c r="L165" i="7"/>
  <c r="L15" i="7"/>
  <c r="O15" i="7"/>
  <c r="AN41" i="13"/>
  <c r="L170" i="7"/>
  <c r="O170" i="7"/>
  <c r="L33" i="7"/>
  <c r="O33" i="7"/>
  <c r="AN42" i="13"/>
  <c r="O145" i="7"/>
  <c r="L166" i="7"/>
  <c r="O166" i="7"/>
  <c r="L5" i="7"/>
  <c r="O5" i="7"/>
  <c r="L159" i="7"/>
  <c r="O159" i="7"/>
  <c r="N129" i="7"/>
  <c r="O129" i="7"/>
  <c r="U3" i="13"/>
  <c r="L168" i="7"/>
  <c r="L31" i="7"/>
  <c r="O31" i="7"/>
  <c r="L22" i="7"/>
  <c r="O22" i="7"/>
  <c r="L177" i="7"/>
  <c r="O177" i="7"/>
  <c r="L20" i="7"/>
  <c r="O20" i="7"/>
  <c r="L174" i="7"/>
  <c r="O174" i="7"/>
  <c r="L26" i="7"/>
  <c r="O26" i="7"/>
  <c r="N130" i="7"/>
  <c r="O130" i="7"/>
  <c r="L14" i="7"/>
  <c r="O14" i="7"/>
  <c r="L164" i="7"/>
  <c r="O164" i="7"/>
  <c r="L158" i="7"/>
  <c r="O158" i="7"/>
  <c r="L24" i="7"/>
  <c r="O24" i="7"/>
  <c r="L9" i="7"/>
  <c r="O9" i="7"/>
  <c r="L173" i="7"/>
  <c r="O173" i="7"/>
  <c r="L181" i="7"/>
  <c r="O181" i="7"/>
  <c r="L18" i="7"/>
  <c r="O18" i="7"/>
  <c r="L6" i="7"/>
  <c r="O6" i="7"/>
  <c r="L169" i="7"/>
  <c r="O169" i="7"/>
  <c r="L16" i="7"/>
  <c r="O16" i="7"/>
  <c r="B81" i="7"/>
  <c r="Q81" i="7"/>
  <c r="B85" i="7"/>
  <c r="Q85" i="7"/>
  <c r="L23" i="7"/>
  <c r="O23" i="7"/>
  <c r="AA7" i="5"/>
  <c r="L179" i="7"/>
  <c r="O179" i="7"/>
  <c r="O148" i="7"/>
  <c r="L160" i="7"/>
  <c r="O160" i="7"/>
  <c r="L178" i="7"/>
  <c r="O178" i="7"/>
  <c r="L21" i="7"/>
  <c r="O21" i="7"/>
  <c r="Q121" i="7"/>
  <c r="AQ42" i="13"/>
  <c r="AI27" i="14"/>
  <c r="L153" i="7"/>
  <c r="O153" i="7"/>
  <c r="AH27" i="14"/>
  <c r="O135" i="7"/>
  <c r="L211" i="7"/>
  <c r="O211" i="7"/>
  <c r="L50" i="7"/>
  <c r="O50" i="7"/>
  <c r="L62" i="7"/>
  <c r="O62" i="7"/>
  <c r="L41" i="7"/>
  <c r="O41" i="7"/>
  <c r="L66" i="7"/>
  <c r="O66" i="7"/>
  <c r="L47" i="7"/>
  <c r="O47" i="7"/>
  <c r="L196" i="7"/>
  <c r="O196" i="7"/>
  <c r="L205" i="7"/>
  <c r="O205" i="7"/>
  <c r="L190" i="7"/>
  <c r="O190" i="7"/>
  <c r="L52" i="7"/>
  <c r="O52" i="7"/>
  <c r="L206" i="7"/>
  <c r="O206" i="7"/>
  <c r="L57" i="7"/>
  <c r="O57" i="7"/>
  <c r="L188" i="7"/>
  <c r="O188" i="7"/>
  <c r="L64" i="7"/>
  <c r="O64" i="7"/>
  <c r="AN43" i="13"/>
  <c r="U2" i="13"/>
  <c r="AO51" i="13"/>
  <c r="AM51" i="13"/>
  <c r="AL58" i="13"/>
  <c r="L185" i="7"/>
  <c r="O185" i="7"/>
  <c r="L194" i="7"/>
  <c r="O194" i="7"/>
  <c r="L45" i="7"/>
  <c r="O45" i="7"/>
  <c r="L193" i="7"/>
  <c r="O193" i="7"/>
  <c r="L199" i="7"/>
  <c r="O199" i="7"/>
  <c r="O144" i="7"/>
  <c r="F71" i="13"/>
  <c r="L39" i="7"/>
  <c r="O39" i="7"/>
  <c r="L215" i="7"/>
  <c r="O215" i="7"/>
  <c r="L214" i="7"/>
  <c r="O214" i="7"/>
  <c r="L49" i="7"/>
  <c r="O49" i="7"/>
  <c r="L51" i="7"/>
  <c r="O51" i="7"/>
  <c r="L48" i="7"/>
  <c r="O48" i="7"/>
  <c r="L208" i="7"/>
  <c r="O208" i="7"/>
  <c r="L40" i="7"/>
  <c r="O40" i="7"/>
  <c r="L213" i="7"/>
  <c r="O213" i="7"/>
  <c r="L63" i="7"/>
  <c r="O63" i="7"/>
  <c r="L56" i="7"/>
  <c r="O56" i="7"/>
  <c r="N128" i="7"/>
  <c r="O128" i="7"/>
  <c r="L187" i="7"/>
  <c r="O187" i="7"/>
  <c r="L203" i="7"/>
  <c r="O203" i="7"/>
  <c r="AA5" i="5"/>
  <c r="L202" i="7"/>
  <c r="O202" i="7"/>
  <c r="L209" i="7"/>
  <c r="O209" i="7"/>
  <c r="L58" i="7"/>
  <c r="O58" i="7"/>
  <c r="L53" i="7"/>
  <c r="O53" i="7"/>
  <c r="L54" i="7"/>
  <c r="O54" i="7"/>
  <c r="L192" i="7"/>
  <c r="O192" i="7"/>
  <c r="L207" i="7"/>
  <c r="O207" i="7"/>
  <c r="L195" i="7"/>
  <c r="O195" i="7"/>
  <c r="L204" i="7"/>
  <c r="O204" i="7"/>
  <c r="L65" i="7"/>
  <c r="O65" i="7"/>
  <c r="L61" i="7"/>
  <c r="O61" i="7"/>
  <c r="O149" i="7"/>
  <c r="L36" i="7"/>
  <c r="O36" i="7"/>
  <c r="L189" i="7"/>
  <c r="O189" i="7"/>
  <c r="O150" i="7"/>
  <c r="N126" i="7"/>
  <c r="O126" i="7"/>
  <c r="L197" i="7"/>
  <c r="O197" i="7"/>
  <c r="E28" i="13"/>
  <c r="B96" i="7"/>
  <c r="Q96" i="7"/>
  <c r="B95" i="7"/>
  <c r="Q95" i="7"/>
  <c r="I83" i="13"/>
  <c r="L42" i="7"/>
  <c r="O42" i="7"/>
  <c r="I55" i="5"/>
  <c r="B87" i="7"/>
  <c r="Q87" i="7"/>
  <c r="B83" i="7"/>
  <c r="Q83" i="7"/>
  <c r="B84" i="7"/>
  <c r="Q84" i="7"/>
  <c r="B91" i="7"/>
  <c r="Q91" i="7"/>
  <c r="I88" i="13"/>
  <c r="A48" i="5"/>
  <c r="E27" i="13"/>
  <c r="B79" i="7"/>
  <c r="Q79" i="7"/>
  <c r="B77" i="7"/>
  <c r="Q77" i="7"/>
  <c r="B97" i="7"/>
  <c r="Q97" i="7"/>
  <c r="B88" i="7"/>
  <c r="Q88" i="7"/>
  <c r="B90" i="7"/>
  <c r="Q90" i="7"/>
  <c r="B82" i="7"/>
  <c r="Q82" i="7"/>
  <c r="B78" i="7"/>
  <c r="Q78" i="7"/>
  <c r="B92" i="7"/>
  <c r="Q92" i="7"/>
  <c r="B89" i="7"/>
  <c r="Q89" i="7"/>
  <c r="B93" i="7"/>
  <c r="Q93" i="7"/>
  <c r="B80" i="7"/>
  <c r="Q80" i="7"/>
  <c r="B94" i="7"/>
  <c r="Q94" i="7"/>
  <c r="H1" i="16"/>
  <c r="Q123" i="7"/>
  <c r="AQ44" i="13"/>
  <c r="C1" i="16"/>
  <c r="I1" i="16"/>
  <c r="T52" i="13"/>
  <c r="U52" i="13"/>
  <c r="T50" i="13"/>
  <c r="U50" i="13"/>
  <c r="T51" i="13"/>
  <c r="V51" i="13"/>
  <c r="O168" i="7"/>
  <c r="O162" i="7"/>
  <c r="O167" i="7"/>
  <c r="O161" i="7"/>
  <c r="O183" i="7"/>
  <c r="O224" i="7"/>
  <c r="O165" i="7"/>
  <c r="O216" i="7"/>
  <c r="O217" i="7"/>
  <c r="O172" i="7"/>
  <c r="O201" i="7"/>
  <c r="O220" i="7"/>
  <c r="O186" i="7"/>
  <c r="AN51" i="13"/>
  <c r="O175" i="7"/>
  <c r="O184" i="7"/>
  <c r="O221" i="7"/>
  <c r="O210" i="7"/>
  <c r="O198" i="7"/>
  <c r="O152" i="7"/>
  <c r="O219" i="7"/>
  <c r="O225" i="7"/>
  <c r="O200" i="7"/>
  <c r="O191" i="7"/>
  <c r="O223" i="7"/>
  <c r="O218" i="7"/>
  <c r="O212" i="7"/>
  <c r="B21" i="5"/>
  <c r="AI29" i="5"/>
  <c r="AJ29" i="5"/>
  <c r="AI27" i="5"/>
  <c r="AJ27" i="5"/>
  <c r="AI31" i="5"/>
  <c r="AJ31" i="5"/>
  <c r="D25" i="5"/>
  <c r="AI30" i="5"/>
  <c r="AJ30" i="5"/>
  <c r="AI28" i="5"/>
  <c r="AJ28" i="5"/>
  <c r="O222" i="7"/>
  <c r="B67" i="13"/>
  <c r="B71" i="13"/>
  <c r="J71" i="13"/>
  <c r="C24" i="16"/>
  <c r="AU27" i="13"/>
  <c r="BA27" i="13"/>
  <c r="AT25" i="13"/>
  <c r="AT29" i="13"/>
  <c r="AT26" i="13"/>
  <c r="AT27" i="13"/>
  <c r="AU29" i="13"/>
  <c r="BA29" i="13"/>
  <c r="AU25" i="13"/>
  <c r="BA25" i="13"/>
  <c r="AU28" i="13"/>
  <c r="BA28" i="13"/>
  <c r="AU26" i="13"/>
  <c r="AT28" i="13"/>
  <c r="AJ28" i="14"/>
  <c r="L28" i="14"/>
  <c r="AA29" i="13"/>
  <c r="AB25" i="13"/>
  <c r="AG25" i="13"/>
  <c r="AA25" i="13"/>
  <c r="AA27" i="13"/>
  <c r="AB27" i="13"/>
  <c r="AJ29" i="14"/>
  <c r="L29" i="14"/>
  <c r="AJ31" i="14"/>
  <c r="L31" i="14"/>
  <c r="AB29" i="13"/>
  <c r="AB26" i="13"/>
  <c r="AG26" i="13"/>
  <c r="AB28" i="13"/>
  <c r="AA28" i="13"/>
  <c r="AA26" i="13"/>
  <c r="AG29" i="13"/>
  <c r="AJ27" i="14"/>
  <c r="AJ30" i="14"/>
  <c r="L30" i="14"/>
  <c r="W27" i="5"/>
  <c r="Z66" i="13"/>
  <c r="AE66" i="13"/>
  <c r="W28" i="5"/>
  <c r="W30" i="5"/>
  <c r="E71" i="13"/>
  <c r="B24" i="16"/>
  <c r="AA66" i="13"/>
  <c r="W29" i="5"/>
  <c r="W31" i="5"/>
  <c r="BA26" i="13"/>
  <c r="T53" i="13"/>
  <c r="V53" i="13"/>
  <c r="U53" i="13"/>
  <c r="T54" i="13"/>
  <c r="AL51" i="13"/>
  <c r="AL66" i="13"/>
  <c r="AS51" i="13"/>
  <c r="AS52" i="13"/>
  <c r="AP76" i="13"/>
  <c r="AP77" i="13"/>
  <c r="AL63" i="13"/>
  <c r="AJ27" i="13"/>
  <c r="K29" i="5"/>
  <c r="AK25" i="13"/>
  <c r="AL69" i="13"/>
  <c r="AL75" i="13"/>
  <c r="AJ25" i="13"/>
  <c r="I30" i="5"/>
  <c r="AL55" i="13"/>
  <c r="AJ28" i="13"/>
  <c r="AK26" i="13"/>
  <c r="K28" i="5"/>
  <c r="K30" i="5"/>
  <c r="AK27" i="13"/>
  <c r="AK28" i="13"/>
  <c r="AK29" i="13"/>
  <c r="AJ29" i="13"/>
  <c r="AJ26" i="13"/>
  <c r="K31" i="5"/>
  <c r="I29" i="5"/>
  <c r="I27" i="5"/>
  <c r="I28" i="5"/>
  <c r="K27" i="5"/>
  <c r="I31" i="5"/>
  <c r="E62" i="13" a="1"/>
  <c r="E62" i="13"/>
  <c r="B16" i="16"/>
  <c r="J27" i="14"/>
  <c r="L27" i="14"/>
  <c r="AG28" i="13"/>
  <c r="AG27" i="13"/>
  <c r="J30" i="14"/>
  <c r="J31" i="14"/>
  <c r="J28" i="14"/>
  <c r="J29" i="14"/>
  <c r="E53" i="13" a="1"/>
  <c r="E53" i="13"/>
  <c r="J53" i="13"/>
  <c r="C9" i="16"/>
  <c r="AL61" i="13"/>
  <c r="AL56" i="13"/>
  <c r="AM56" i="13"/>
  <c r="AN56" i="13"/>
  <c r="AL54" i="13"/>
  <c r="AM54" i="13"/>
  <c r="AN54" i="13"/>
  <c r="AL64" i="13"/>
  <c r="AL57" i="13"/>
  <c r="AL70" i="13"/>
  <c r="J62" i="13"/>
  <c r="C16" i="16"/>
  <c r="F62" i="13"/>
  <c r="AL65" i="13"/>
  <c r="AL67" i="13"/>
  <c r="V54" i="13"/>
  <c r="T55" i="13"/>
  <c r="AL60" i="13"/>
  <c r="AL62" i="13"/>
  <c r="AL71" i="13"/>
  <c r="AL72" i="13"/>
  <c r="AL68" i="13"/>
  <c r="AL59" i="13"/>
  <c r="E63" i="13" a="1"/>
  <c r="E63" i="13"/>
  <c r="AP28" i="13"/>
  <c r="AP27" i="13"/>
  <c r="AP29" i="13"/>
  <c r="AP26" i="13"/>
  <c r="E44" i="13" a="1"/>
  <c r="E44" i="13"/>
  <c r="AP25" i="13"/>
  <c r="E54" i="13" a="1"/>
  <c r="E54" i="13"/>
  <c r="F54" i="13"/>
  <c r="B9" i="16"/>
  <c r="F53" i="13"/>
  <c r="AM55" i="13"/>
  <c r="AO55" i="13"/>
  <c r="E64" i="13" a="1"/>
  <c r="E64" i="13"/>
  <c r="E65" i="13" a="1"/>
  <c r="E65" i="13"/>
  <c r="B17" i="16"/>
  <c r="F44" i="13"/>
  <c r="B2" i="16"/>
  <c r="AM57" i="13"/>
  <c r="AM58" i="13"/>
  <c r="AO58" i="13"/>
  <c r="U55" i="13"/>
  <c r="T56" i="13"/>
  <c r="J63" i="13"/>
  <c r="C17" i="16"/>
  <c r="A17" i="16"/>
  <c r="F63" i="13"/>
  <c r="E45" i="13" a="1"/>
  <c r="E45" i="13"/>
  <c r="J44" i="13"/>
  <c r="B10" i="16"/>
  <c r="J54" i="13"/>
  <c r="C10" i="16"/>
  <c r="E55" i="13" a="1"/>
  <c r="E55" i="13"/>
  <c r="F55" i="13"/>
  <c r="F64" i="13"/>
  <c r="F65" i="13"/>
  <c r="B19" i="16"/>
  <c r="J64" i="13"/>
  <c r="C18" i="16"/>
  <c r="A18" i="16"/>
  <c r="B18" i="16"/>
  <c r="C2" i="16"/>
  <c r="A2" i="16"/>
  <c r="E46" i="13" a="1"/>
  <c r="E46" i="13"/>
  <c r="J46" i="13"/>
  <c r="B3" i="16"/>
  <c r="AN57" i="13"/>
  <c r="AO57" i="13"/>
  <c r="AM59" i="13"/>
  <c r="AM60" i="13"/>
  <c r="V56" i="13"/>
  <c r="U56" i="13"/>
  <c r="T57" i="13"/>
  <c r="T58" i="13"/>
  <c r="E66" i="13" a="1"/>
  <c r="E66" i="13"/>
  <c r="J65" i="13"/>
  <c r="C19" i="16"/>
  <c r="J45" i="13"/>
  <c r="F45" i="13"/>
  <c r="E56" i="13" a="1"/>
  <c r="E56" i="13"/>
  <c r="E57" i="13" a="1"/>
  <c r="E57" i="13"/>
  <c r="J57" i="13"/>
  <c r="C13" i="16"/>
  <c r="A13" i="16"/>
  <c r="J55" i="13"/>
  <c r="C11" i="16"/>
  <c r="A11" i="16"/>
  <c r="B11" i="16"/>
  <c r="J56" i="13"/>
  <c r="C12" i="16"/>
  <c r="A12" i="16"/>
  <c r="E67" i="13" a="1"/>
  <c r="E67" i="13"/>
  <c r="F67" i="13"/>
  <c r="B20" i="16"/>
  <c r="I2" i="16"/>
  <c r="H2" i="16"/>
  <c r="C4" i="16"/>
  <c r="A4" i="16"/>
  <c r="C3" i="16"/>
  <c r="A3" i="16"/>
  <c r="E47" i="13" a="1"/>
  <c r="E47" i="13"/>
  <c r="F47" i="13"/>
  <c r="F46" i="13"/>
  <c r="B4" i="16"/>
  <c r="AM61" i="13"/>
  <c r="AM62" i="13"/>
  <c r="AN62" i="13"/>
  <c r="AO60" i="13"/>
  <c r="AN60" i="13"/>
  <c r="AN59" i="13"/>
  <c r="U58" i="13"/>
  <c r="T59" i="13"/>
  <c r="V59" i="13"/>
  <c r="V57" i="13"/>
  <c r="U57" i="13"/>
  <c r="F66" i="13"/>
  <c r="J66" i="13"/>
  <c r="C20" i="16"/>
  <c r="A20" i="16"/>
  <c r="B12" i="16"/>
  <c r="B13" i="16"/>
  <c r="F56" i="13"/>
  <c r="F57" i="13"/>
  <c r="E68" i="13" a="1"/>
  <c r="E68" i="13"/>
  <c r="J68" i="13"/>
  <c r="C22" i="16"/>
  <c r="A22" i="16"/>
  <c r="AO61" i="13"/>
  <c r="AN61" i="13"/>
  <c r="J67" i="13"/>
  <c r="C21" i="16"/>
  <c r="B21" i="16"/>
  <c r="B5" i="16"/>
  <c r="J47" i="13"/>
  <c r="E48" i="13" a="1"/>
  <c r="E48" i="13"/>
  <c r="F48" i="13"/>
  <c r="AM63" i="13"/>
  <c r="T60" i="13"/>
  <c r="F68" i="13"/>
  <c r="B22" i="16"/>
  <c r="E69" i="13" a="1"/>
  <c r="E69" i="13"/>
  <c r="F69" i="13"/>
  <c r="K44" i="13"/>
  <c r="C5" i="16"/>
  <c r="A5" i="16"/>
  <c r="J48" i="13"/>
  <c r="B6" i="16"/>
  <c r="AO63" i="13"/>
  <c r="AM64" i="13"/>
  <c r="V60" i="13"/>
  <c r="U60" i="13"/>
  <c r="T61" i="13"/>
  <c r="J69" i="13"/>
  <c r="C23" i="16"/>
  <c r="B23" i="16"/>
  <c r="C6" i="16"/>
  <c r="A6" i="16"/>
  <c r="AO64" i="13"/>
  <c r="AN64" i="13"/>
  <c r="AM65" i="13"/>
  <c r="V61" i="13"/>
  <c r="U61" i="13"/>
  <c r="T62" i="13"/>
  <c r="AN65" i="13"/>
  <c r="AO65" i="13"/>
  <c r="AM66" i="13"/>
  <c r="AN66" i="13"/>
  <c r="U62" i="13"/>
  <c r="T63" i="13"/>
  <c r="AM67" i="13"/>
  <c r="AN67" i="13"/>
  <c r="AM68" i="13"/>
  <c r="U63" i="13"/>
  <c r="V63" i="13"/>
  <c r="T64" i="13"/>
  <c r="AO67" i="13"/>
  <c r="AO68" i="13"/>
  <c r="AN68" i="13"/>
  <c r="AM69" i="13"/>
  <c r="U64" i="13"/>
  <c r="V64" i="13"/>
  <c r="T65" i="13"/>
  <c r="AO69" i="13"/>
  <c r="AM70" i="13"/>
  <c r="V65" i="13"/>
  <c r="T66" i="13"/>
  <c r="AO70" i="13"/>
  <c r="AN70" i="13"/>
  <c r="AM71" i="13"/>
  <c r="V66" i="13"/>
  <c r="U66" i="13"/>
  <c r="T67" i="13"/>
  <c r="AN71" i="13"/>
  <c r="AO71" i="13"/>
  <c r="AM72" i="13"/>
  <c r="V67" i="13"/>
  <c r="U67" i="13"/>
  <c r="T68" i="13"/>
  <c r="AN72" i="13"/>
  <c r="AN76" i="13"/>
  <c r="AO72" i="13"/>
  <c r="AM75" i="13"/>
  <c r="AO75" i="13"/>
  <c r="AO76" i="13"/>
  <c r="V68" i="13"/>
  <c r="U68" i="13"/>
  <c r="U70" i="13"/>
  <c r="J51" i="13"/>
  <c r="T69" i="13"/>
  <c r="V69" i="13"/>
  <c r="V70" i="13"/>
  <c r="J50" i="13"/>
  <c r="C7" i="16"/>
  <c r="A7" i="16"/>
  <c r="E51" i="13"/>
  <c r="C8" i="16"/>
  <c r="A8" i="16"/>
  <c r="A9" i="16"/>
  <c r="A10" i="16"/>
  <c r="AO77" i="13"/>
  <c r="J59" i="13"/>
  <c r="C14" i="16"/>
  <c r="A14" i="16"/>
  <c r="J60" i="13"/>
  <c r="C15" i="16"/>
  <c r="AN77" i="13"/>
  <c r="E60" i="13"/>
  <c r="E50" i="13"/>
  <c r="B50" i="13"/>
  <c r="B51" i="13"/>
  <c r="B53" i="13"/>
  <c r="A15" i="16"/>
  <c r="A19" i="16"/>
  <c r="A23" i="16"/>
  <c r="F60" i="13"/>
  <c r="B15" i="16"/>
  <c r="F50" i="13"/>
  <c r="B7" i="16"/>
  <c r="F51" i="13"/>
  <c r="B8" i="16"/>
  <c r="B59" i="13"/>
  <c r="B60" i="13"/>
  <c r="AO80" i="13"/>
  <c r="E59" i="13"/>
  <c r="AO79" i="13"/>
  <c r="A16" i="16"/>
  <c r="F59" i="13"/>
  <c r="B14" i="16"/>
  <c r="A21" i="16"/>
  <c r="A24" i="16"/>
  <c r="H11" i="16"/>
  <c r="H4" i="16"/>
  <c r="H14" i="16"/>
  <c r="I14" i="16"/>
  <c r="I11" i="16"/>
  <c r="H7" i="16"/>
  <c r="I8" i="16"/>
  <c r="H5" i="16"/>
  <c r="I15" i="16"/>
  <c r="H15" i="16"/>
  <c r="I5" i="16"/>
  <c r="H10" i="16"/>
  <c r="I6" i="16"/>
  <c r="I13" i="16"/>
  <c r="I12" i="16"/>
  <c r="H8" i="16"/>
  <c r="I4" i="16"/>
  <c r="H6" i="16"/>
  <c r="I10" i="16"/>
  <c r="I3" i="16"/>
  <c r="H13" i="16"/>
  <c r="I9" i="16"/>
  <c r="H12" i="16"/>
  <c r="H9" i="16"/>
  <c r="H3" i="16"/>
  <c r="I7" i="16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<sst xmlns="http://schemas.openxmlformats.org/spreadsheetml/2006/main" count="2866" uniqueCount="2198">
  <si>
    <t>StrongPlanner</t>
  </si>
  <si>
    <t>StrongMax</t>
  </si>
  <si>
    <t>StrongMini</t>
  </si>
  <si>
    <t>Verze:</t>
  </si>
  <si>
    <t>CZ</t>
  </si>
  <si>
    <t>SK</t>
  </si>
  <si>
    <t>PL</t>
  </si>
  <si>
    <t>HU</t>
  </si>
  <si>
    <t>EN</t>
  </si>
  <si>
    <t>FR</t>
  </si>
  <si>
    <t>česky</t>
  </si>
  <si>
    <t>slovensky</t>
  </si>
  <si>
    <t>polsky</t>
  </si>
  <si>
    <t>madarsky</t>
  </si>
  <si>
    <t>anglicky</t>
  </si>
  <si>
    <t>Zásuvky s čílkem</t>
  </si>
  <si>
    <t>Zásuvky s čelom</t>
  </si>
  <si>
    <t>Szuflada z frontem</t>
  </si>
  <si>
    <t xml:space="preserve">Fiókok frontval </t>
  </si>
  <si>
    <t>Úvod</t>
  </si>
  <si>
    <t>Wprowadzenie</t>
  </si>
  <si>
    <t>Bevezetés</t>
  </si>
  <si>
    <t>Main page</t>
  </si>
  <si>
    <t>Dále</t>
  </si>
  <si>
    <t>Ďalšie</t>
  </si>
  <si>
    <t>Következő</t>
  </si>
  <si>
    <t>Next</t>
  </si>
  <si>
    <t>Výška korpusu (A)</t>
  </si>
  <si>
    <t>Wysokość korpusu (A)</t>
  </si>
  <si>
    <t>Korpuszmagasság (A)</t>
  </si>
  <si>
    <t>Šířka korpusu (B)</t>
  </si>
  <si>
    <t>Šírka korpusu (B)</t>
  </si>
  <si>
    <t>Szerokość korpusu (B)</t>
  </si>
  <si>
    <t>Korpuszszélesség (B)</t>
  </si>
  <si>
    <t>Tloušťka dna a půdy (C)</t>
  </si>
  <si>
    <t>Hrúbka dna a stropu (C)</t>
  </si>
  <si>
    <t>Grubość dna i wieńca górnego (C)</t>
  </si>
  <si>
    <t>Alsó és felső fal vastagság ©</t>
  </si>
  <si>
    <t>Tloušťka boků (D)</t>
  </si>
  <si>
    <t>Hrúbka bokov (D)</t>
  </si>
  <si>
    <t>Grubość boków (D)</t>
  </si>
  <si>
    <t>Oldalfal vastagság (D)</t>
  </si>
  <si>
    <t>Mezera nahoře (E)</t>
  </si>
  <si>
    <t>Medzera hore (E)</t>
  </si>
  <si>
    <t>Szczelina na górze (E)</t>
  </si>
  <si>
    <t>Rés a felső részen (E)</t>
  </si>
  <si>
    <t>Mezera mezi čely (F)</t>
  </si>
  <si>
    <t>Medzera medzi čelami (F)</t>
  </si>
  <si>
    <t>Szczelina między frontami (F)</t>
  </si>
  <si>
    <t>Frontok közötti réstávolság (F)</t>
  </si>
  <si>
    <t>Mezera na stranách (H)</t>
  </si>
  <si>
    <t>Medzera na stranách (H)</t>
  </si>
  <si>
    <t>Szczelina po bokach (H)</t>
  </si>
  <si>
    <t>Oldalsó rések (H)</t>
  </si>
  <si>
    <t>Délka výsuvů (I)</t>
  </si>
  <si>
    <t>Dĺžka výsuvov (I)</t>
  </si>
  <si>
    <t>Długość prowadnicy (I)</t>
  </si>
  <si>
    <t>Fióksín hossz (I)</t>
  </si>
  <si>
    <t>Počet zásuvek</t>
  </si>
  <si>
    <t>Počet zásuviek</t>
  </si>
  <si>
    <t>Ilość szuflad</t>
  </si>
  <si>
    <t>Fiókok száma</t>
  </si>
  <si>
    <t>Dopočet výšky čílek</t>
  </si>
  <si>
    <t>Dopočet výšky čiel</t>
  </si>
  <si>
    <t>A frontok magasságának számítása</t>
  </si>
  <si>
    <t>Bude čelo s úchytovým profilem?</t>
  </si>
  <si>
    <t>Bude čelo s úchytovým profilom ?</t>
  </si>
  <si>
    <t>Tartalmaz a front fogantyúprofilt?</t>
  </si>
  <si>
    <t>Výška úchytového profilu v mm (J)</t>
  </si>
  <si>
    <t>A fogantyúprofil magassága mm-ben (J)</t>
  </si>
  <si>
    <t>1. zásuvka</t>
  </si>
  <si>
    <t>1. szuflada</t>
  </si>
  <si>
    <t>1. fiók</t>
  </si>
  <si>
    <t>2. zásuvka</t>
  </si>
  <si>
    <t>2. szuflada</t>
  </si>
  <si>
    <t>2. fiók</t>
  </si>
  <si>
    <t>3. zásuvka</t>
  </si>
  <si>
    <t>3. szuflada</t>
  </si>
  <si>
    <t>3. fiók</t>
  </si>
  <si>
    <t>4. zásuvka</t>
  </si>
  <si>
    <t>4. szuflada</t>
  </si>
  <si>
    <t>4. fiók</t>
  </si>
  <si>
    <t>5. zásuvka</t>
  </si>
  <si>
    <t>5. szuflada</t>
  </si>
  <si>
    <t>5. fiók</t>
  </si>
  <si>
    <t>Pozice výsuvu</t>
  </si>
  <si>
    <t>Pozícia výsuvu</t>
  </si>
  <si>
    <t>Pozycja prowadnic</t>
  </si>
  <si>
    <t>Fióksín pozíció</t>
  </si>
  <si>
    <t>Výška čílka</t>
  </si>
  <si>
    <t>Výška čela</t>
  </si>
  <si>
    <t>Wysokość frontu</t>
  </si>
  <si>
    <t>Frontmagasság</t>
  </si>
  <si>
    <t>Rozměry korpusu v mm</t>
  </si>
  <si>
    <t>Rozmery korpusu v mm</t>
  </si>
  <si>
    <t>Wymiary korpusu w mm</t>
  </si>
  <si>
    <t>A korpusz méretei mm-ben</t>
  </si>
  <si>
    <t>Vyberte barvu</t>
  </si>
  <si>
    <t>Vyberte farbu</t>
  </si>
  <si>
    <t>Wybierz kolor</t>
  </si>
  <si>
    <t>Szín kiválasztása</t>
  </si>
  <si>
    <t>bílá</t>
  </si>
  <si>
    <t>biela</t>
  </si>
  <si>
    <t>biały</t>
  </si>
  <si>
    <t>fehér</t>
  </si>
  <si>
    <t>černá</t>
  </si>
  <si>
    <t>čierna</t>
  </si>
  <si>
    <t>czarny</t>
  </si>
  <si>
    <t>fekete</t>
  </si>
  <si>
    <t>šedá</t>
  </si>
  <si>
    <t>sivá</t>
  </si>
  <si>
    <t>szary</t>
  </si>
  <si>
    <t>szürke</t>
  </si>
  <si>
    <t>Vyberte výšku bočnice</t>
  </si>
  <si>
    <t>Válassza ki az oldalfal magasságát</t>
  </si>
  <si>
    <t>nelze varianta se sklem</t>
  </si>
  <si>
    <t>variant zo sklom nie je možlivý</t>
  </si>
  <si>
    <t>Nie ma wariantu ze szkłem</t>
  </si>
  <si>
    <t>üveggel nem lehetséges</t>
  </si>
  <si>
    <t>Vrtání boku korpusu</t>
  </si>
  <si>
    <t>Vŕtanie boku korpusu</t>
  </si>
  <si>
    <t>Wiercenie do boku korpusu</t>
  </si>
  <si>
    <t>A korpusz oldalának fúrása</t>
  </si>
  <si>
    <t>Vyplňujte vždy zdola</t>
  </si>
  <si>
    <t>Wypełniaj zawsze od dołu</t>
  </si>
  <si>
    <t>Az adatokat mindig alulról kezdje kitölteni</t>
  </si>
  <si>
    <t>Výška otvorů od dna korpusu</t>
  </si>
  <si>
    <t>Výška otvorov od dna korpusu</t>
  </si>
  <si>
    <t>Wysokość otworów od dna korpusu</t>
  </si>
  <si>
    <t>A furatok magassága a korpusz aljától számítva</t>
  </si>
  <si>
    <t>Vždy používejte aktuální verzi formuláře, který je dostupný na našich stánkách.</t>
  </si>
  <si>
    <t>Vždy používajte aktuálnu verziu formuláru, ktorý je dostupný na našich stránkach.</t>
  </si>
  <si>
    <t>Proszę korzystać zawsze z aktualnej wersji formularza umieszczonego na naszych stronach Web.</t>
  </si>
  <si>
    <t>Mindig használja a legfrissebb megrendelő lapot, amelyet megtalál a weboldalunkon.</t>
  </si>
  <si>
    <t>Vyplňte prosím Vaše kontaktní údaje:</t>
  </si>
  <si>
    <t>Vyplňte prosím vaše kontaktné údaje:</t>
  </si>
  <si>
    <t>Wpisz proszę dane kontaktowe:</t>
  </si>
  <si>
    <t>Töltse ki kérem az elérhetőségét:</t>
  </si>
  <si>
    <t>Zákazník</t>
  </si>
  <si>
    <t>Klient</t>
  </si>
  <si>
    <t>Vevő</t>
  </si>
  <si>
    <t>Kontaktní tel.</t>
  </si>
  <si>
    <t>Kontaktný tel.</t>
  </si>
  <si>
    <t>Telefon kontaktowy</t>
  </si>
  <si>
    <t>Kontakt telefon</t>
  </si>
  <si>
    <t>Kontaktní e-mail</t>
  </si>
  <si>
    <t>Kontaktný e -mail</t>
  </si>
  <si>
    <t>Adres e-mail</t>
  </si>
  <si>
    <t>Kontakt e-mail</t>
  </si>
  <si>
    <t>Adresa provozovny</t>
  </si>
  <si>
    <t>Adresa prevádzky</t>
  </si>
  <si>
    <t>Adres oddziału</t>
  </si>
  <si>
    <t>Szállítási cím</t>
  </si>
  <si>
    <t>IČ:</t>
  </si>
  <si>
    <t>ID:</t>
  </si>
  <si>
    <t>Vaše sleva*</t>
  </si>
  <si>
    <t>Vaše zľava*</t>
  </si>
  <si>
    <t>Twój Rabat*</t>
  </si>
  <si>
    <t>Engedmény a profilokra*</t>
  </si>
  <si>
    <t>Číslo objednávky</t>
  </si>
  <si>
    <t>Numer zamówienia</t>
  </si>
  <si>
    <t>A megrendelés száma</t>
  </si>
  <si>
    <t>Ceny jsou platné od 02.01.2025</t>
  </si>
  <si>
    <t>Ceny sú platné od 02.01.2025</t>
  </si>
  <si>
    <t>Ceny obowiązują od 02.01.2025</t>
  </si>
  <si>
    <t>Az árak érvényesek 2025.01.02 -től</t>
  </si>
  <si>
    <t>Tento formulář slouží pro pomoc při výpočtu výšky čel, vrtání výsuvů a čel. V některých případech výpočty nemusí být přesné a firma Démos Trade neručí za škody způsobené tímto formulářem.</t>
  </si>
  <si>
    <t>Tento formulár slúži ako pomôcka pri výpočte výšky čela, vŕtania výsuvov a čiel. V niektorých prípadoch nemusia byť výpočty presné a spoločnosť Démos Trade nezodpovedá za škody spôsobené týmto formulárom.</t>
  </si>
  <si>
    <t>Formularz ten służy do pomocy przy obliczaniu wysokości frontów, wierceniu prowadnic i frontów. W niektórych przypadkach obliczenia mogą nie być dokładne i Démos Trade nie ponosi odpowiedzialności za szkody spowodowane przez ten formularz.</t>
  </si>
  <si>
    <t>Ez a űrlap a frontmagasságok, a fióksínek és a frontok furatainak kiszámításához nyújt segítséget. Bizonyos esetekben a számítások nem feltétlenül pontosak, és a Démos Trade nem vállal felelősséget az űrlap által okozott károkért.</t>
  </si>
  <si>
    <t>Potvrzuji, že rozumím a přijímám výše uvedené podmínky a doporučení:</t>
  </si>
  <si>
    <t>Potvrdzujem, že som porozumel a súhlasím s uvedenými podmienkami a odporúčaniami:</t>
  </si>
  <si>
    <t>Potwierdzam, że rozumiem i akceptuję powyższe warunki i zalecenia:</t>
  </si>
  <si>
    <t>Megerősítem, hogy megértettem és elfogadom a fenti feltételeket és ajánlásokat:</t>
  </si>
  <si>
    <t>Zpět</t>
  </si>
  <si>
    <t>Späť</t>
  </si>
  <si>
    <t>Powrót</t>
  </si>
  <si>
    <t>Vissza</t>
  </si>
  <si>
    <t>Back</t>
  </si>
  <si>
    <t>Uvedené ceny jsou bez DPH!</t>
  </si>
  <si>
    <t>Uvedené ceny sú bez DPH!</t>
  </si>
  <si>
    <t>Podane ceny nie zawierają podatku VAT!</t>
  </si>
  <si>
    <t>Az feltüntetett árak ÁFA nélkül vannak megadva és nem tartalmazzák a szükséges vasalatok árát!</t>
  </si>
  <si>
    <t>Prices are without VAT!</t>
  </si>
  <si>
    <t xml:space="preserve">Při vyplňování formuláře postupujte vždy shora dolů. Provedete li zpětně změnu, překontrolujte zda jsou následující položky správně. </t>
  </si>
  <si>
    <t>Pri vyplňaní formulára postupujte vždy zhora nadol. Ak urobíte spätne zmenu, prekontrolujte či sú nasledovné položky správne.</t>
  </si>
  <si>
    <t>Formularz należy wypełnić od góry do dołu. Po ewentualnej zmianie proszę skontrolować poprawność wprowadzonych danych.</t>
  </si>
  <si>
    <t xml:space="preserve">Az űrlap kitöltésénél mindig haladjon fentről lefelé. Amennyiben bármilyen változtatást hajt végre az űrlapon, ellenőrizze az összes adatot, hogy rendben vannak-e. </t>
  </si>
  <si>
    <t>While filling the form in, always proceed from top to down. If you make any change, make sure that items below are correct.</t>
  </si>
  <si>
    <t xml:space="preserve">Vyplněnou objednávku zašlete na adresu: </t>
  </si>
  <si>
    <t xml:space="preserve">Vyplnenú objednávku zašlite na adresu: </t>
  </si>
  <si>
    <t xml:space="preserve">Wypełnione zamówienie wyślij pod adres: </t>
  </si>
  <si>
    <t xml:space="preserve">A kitöltött megrendelést küldje el a következő címre: </t>
  </si>
  <si>
    <t>objednavky@demos-trade.com</t>
  </si>
  <si>
    <t>zamowienia@demos-trade.com</t>
  </si>
  <si>
    <t>megrendelesek@demos-trade.com</t>
  </si>
  <si>
    <t>Konfigurátor pro výpočet čel a vrtání zásuvek StrongMax a StrongMini s 18mm dnem</t>
  </si>
  <si>
    <t>Konfigurátor pre výpočet čiel a vŕtania zásuviek StrongMax a StrongMini s 18 mm dnom</t>
  </si>
  <si>
    <t>Konfigurator do obliczania wymiarów frontów, dna i ścianki tylnej oraz wiercenia prowadnic (StrongMax,StrongMini- 18mm)</t>
  </si>
  <si>
    <t>Konfigurátor a StrongMax és StrongMini frontok és furatok kiszámításához 18 mm-es fiókalj esetében</t>
  </si>
  <si>
    <t>Přířez dna:</t>
  </si>
  <si>
    <t>Prírez dna:</t>
  </si>
  <si>
    <t>Alsó vágás:</t>
  </si>
  <si>
    <t>(pro správný výpočet musí být zvolena výška bočnice v tabulce výše)</t>
  </si>
  <si>
    <t>(pre správny výpočet je potrebné zvoliť výšku bočnice v tabuľke vyššie)</t>
  </si>
  <si>
    <t>( a helyes számításhoz a fenti táblázatban található oldalfalmagasságot kell kiválasztani)</t>
  </si>
  <si>
    <t>Vrtání čílka první zásuvky</t>
  </si>
  <si>
    <t>Vŕtanie čela prvej zásuvky</t>
  </si>
  <si>
    <t>Wiercenie frontu w pierwszej szufladzie</t>
  </si>
  <si>
    <t>Az első fiók frontfurata</t>
  </si>
  <si>
    <t>Vrtání čílka druhé zásuvky</t>
  </si>
  <si>
    <t>Vŕtanie čela druhej zásuvky</t>
  </si>
  <si>
    <t>Wiercenie frontu w drugiej szufladzie</t>
  </si>
  <si>
    <t>A második fiók frontfurata</t>
  </si>
  <si>
    <t>Vrtání čílka třetí zásuvky</t>
  </si>
  <si>
    <t>Vŕtanie čela tretej zásuvky</t>
  </si>
  <si>
    <t>Wiercenie frontu w trzeciej szufladzie</t>
  </si>
  <si>
    <t>A harmadik fiók frontfurata</t>
  </si>
  <si>
    <t>Vrtání čílka čtvrté zásuvky</t>
  </si>
  <si>
    <t>Vŕtanie čela štvrtej zásuvky</t>
  </si>
  <si>
    <t>Wiercenie frontu w czwartej szufladzie</t>
  </si>
  <si>
    <t>A negyedik fiók frontfurata</t>
  </si>
  <si>
    <t>Vrtání čílka páté zásuvky</t>
  </si>
  <si>
    <t>Vŕtanie čela piatej zásuvky</t>
  </si>
  <si>
    <t>Wiercenie frontu w piątej szufladzie</t>
  </si>
  <si>
    <t>Az ötödik fiók frontfurata</t>
  </si>
  <si>
    <t>Výška čela vč. úchytového profilu</t>
  </si>
  <si>
    <t>Výška čela vrátane úchytového profilu</t>
  </si>
  <si>
    <t>A front rész magassága a fogantyúprofillal együtt</t>
  </si>
  <si>
    <t>ano</t>
  </si>
  <si>
    <t>áno</t>
  </si>
  <si>
    <t>tak</t>
  </si>
  <si>
    <t>igen</t>
  </si>
  <si>
    <t>yes</t>
  </si>
  <si>
    <t>ne</t>
  </si>
  <si>
    <t>nie</t>
  </si>
  <si>
    <t>nem</t>
  </si>
  <si>
    <t>no</t>
  </si>
  <si>
    <t>Skleněná bočnice ano/ne</t>
  </si>
  <si>
    <t>Sklenená bočnica áno/nie</t>
  </si>
  <si>
    <t>Szklane boki tak/nie</t>
  </si>
  <si>
    <t>Üveg oldalfal igen/nem</t>
  </si>
  <si>
    <t>Pozn: vyplňujte zleva doprava</t>
  </si>
  <si>
    <t>Poznámka: vyplňujte zľava doprava</t>
  </si>
  <si>
    <t>Uwaga: wypełniaj od lewej do prawej</t>
  </si>
  <si>
    <t>Megjegyzés: balról jobbra haladva töltse ki</t>
  </si>
  <si>
    <t>Pozn: pokud uděláte změnu, vyplňte vše znovu, jinak bude formulář pracovat s nesprávnými daty</t>
  </si>
  <si>
    <t>Poznámka: ak vykonáte zmenu, vyplňte všetko znova, inak bude formulár pracovať s nesprávnymi údajmi</t>
  </si>
  <si>
    <t>Uwaga: jeśli dokonasz zmiany, wypełnij wszystko od nowa, w przeciwnym razie formularz będzie z błędami</t>
  </si>
  <si>
    <t>Megjegyzés: ha változtat, töltsön ki mindent újra, különben az űrlap hibás adatokkal fog dolgozni</t>
  </si>
  <si>
    <t>Kód kompletu</t>
  </si>
  <si>
    <t>Kod kompletu</t>
  </si>
  <si>
    <t xml:space="preserve">Komplett cikkszáma </t>
  </si>
  <si>
    <t>Název kompletu</t>
  </si>
  <si>
    <t>Názov kompletu</t>
  </si>
  <si>
    <t>Nazwa kompletu</t>
  </si>
  <si>
    <t>Komplett elnevezése</t>
  </si>
  <si>
    <t>Podmínky a doporučení pro správné objednání</t>
  </si>
  <si>
    <t>Podmienky a odporúčania pre správne objednanie</t>
  </si>
  <si>
    <t>Warunki i zalecenia dotyczące prawidłowego zamawiania</t>
  </si>
  <si>
    <t>Helyes megrendelésének feltételei és ajánlásai</t>
  </si>
  <si>
    <t>Conditions and recomendations for correct ordering</t>
  </si>
  <si>
    <t>Pro zjednoduššení práce …</t>
  </si>
  <si>
    <t>Pre zjednodušenie práce …</t>
  </si>
  <si>
    <t>Aby uprościć pracę …</t>
  </si>
  <si>
    <t>A munka egyszerűsítésére …</t>
  </si>
  <si>
    <t>To make your work easier …</t>
  </si>
  <si>
    <t>Maximální doporučená šířka zásuvky je 1,6 násobek délky výsuvu</t>
  </si>
  <si>
    <t>Maximálna doporučná šírka zásuvky je 1,6 násobok dĺžky výsuvu</t>
  </si>
  <si>
    <t>Maksymalna zalecana szerokość szuflady to 1,6-krotność długości prowadnicy</t>
  </si>
  <si>
    <t>A fiók maximális ajánlott szélessége a fióksín hosszának 1,6-szorosa</t>
  </si>
  <si>
    <t>Typ čela zásuvky</t>
  </si>
  <si>
    <t>typ frontu szuflady</t>
  </si>
  <si>
    <t>Fiókelőlap típusa</t>
  </si>
  <si>
    <t>Type of the drawer front panel</t>
  </si>
  <si>
    <t>sklo</t>
  </si>
  <si>
    <t xml:space="preserve">szkło </t>
  </si>
  <si>
    <t>üveg</t>
  </si>
  <si>
    <t>glass</t>
  </si>
  <si>
    <t>alu profil</t>
  </si>
  <si>
    <t>profil aluminiowy</t>
  </si>
  <si>
    <t>ALU profile</t>
  </si>
  <si>
    <t>V případě úchytové profilu prosíme o kontrolu pozice čelního kování, aby nedošlo ke kolici s úchytovým profilem zejména, pokud je profil na zafrézování</t>
  </si>
  <si>
    <t>V prípade uchytového profilu prosíme o kontrolu pozície čelného kovania, aby nedošlo k zrážke s uchytovým profilom,hlavne ak je profil na zafrézovanie</t>
  </si>
  <si>
    <t>W przypadku zastosowania uchwytu krawędziowego prosimy o sprawdzenie pozycji  okuć frontu , aby nie doszło do kolizji z uchwytem, szczególnie jeśli jest przeznaczony do frezowania.</t>
  </si>
  <si>
    <t>Fogantyúprofil esetén kérjük ellenőrizni az előlapi vasalat pozícióját, hogy ne ütközzön a fogantyúprofillal, különösen, ha a profil bemarással készül</t>
  </si>
  <si>
    <t>Potravinová skříň</t>
  </si>
  <si>
    <t>Potravinová skriňa</t>
  </si>
  <si>
    <t xml:space="preserve">cargo </t>
  </si>
  <si>
    <t>Élelmiszer szekrény</t>
  </si>
  <si>
    <t>In the case of a handle profile, please check the position of the front panel fittings to avoid collision with the handle profile, especially if the profile is recessed (milled in).</t>
  </si>
  <si>
    <t>plná bočnice</t>
  </si>
  <si>
    <t>plná bočnica</t>
  </si>
  <si>
    <t xml:space="preserve">pełny bok </t>
  </si>
  <si>
    <t>tömör oldalfal</t>
  </si>
  <si>
    <t>solid sidewall</t>
  </si>
  <si>
    <t>prosklená bočnice</t>
  </si>
  <si>
    <t>presklenná bočnica</t>
  </si>
  <si>
    <t xml:space="preserve">przeszklony bok </t>
  </si>
  <si>
    <t>üvegezett oldalfal</t>
  </si>
  <si>
    <t>glass sidewall</t>
  </si>
  <si>
    <t>Typ boku zásuvky</t>
  </si>
  <si>
    <t>typ boku szuflady</t>
  </si>
  <si>
    <t>Fiókoldal típusa</t>
  </si>
  <si>
    <t>Type of the drawer sidewall</t>
  </si>
  <si>
    <t>Dopočet výšky police nad zásuvkami</t>
  </si>
  <si>
    <t>Výpočet výšky police nad zásuvkami</t>
  </si>
  <si>
    <t>Obliczenie wysokości półki nad szufladami</t>
  </si>
  <si>
    <t>A polc magasságának kiszámítása a fiókok felett</t>
  </si>
  <si>
    <t>Calculation of remaining  shelf height above the drawers.</t>
  </si>
  <si>
    <t>Užitná výška zásuvky</t>
  </si>
  <si>
    <t>Vnútorná výška zásuvky</t>
  </si>
  <si>
    <t>Użyteczna wysokość szuflady</t>
  </si>
  <si>
    <t>A fiók hasznos magassága</t>
  </si>
  <si>
    <t>The drawer use height</t>
  </si>
  <si>
    <t>zvolte užitnou výšku zásuvky</t>
  </si>
  <si>
    <t>zvoľte vnútornú výšku korpusu</t>
  </si>
  <si>
    <t>Wybierz użyteczną wysokość szuflady</t>
  </si>
  <si>
    <t>válassza ki a fiók hasznos magasságát</t>
  </si>
  <si>
    <t>sellect the drawer use height</t>
  </si>
  <si>
    <t>Dopočet vnitřní výšky korpusu</t>
  </si>
  <si>
    <t>Výpočet vnútornej výšky korpusu</t>
  </si>
  <si>
    <t>Obliczenie wewnętrznej wysokości korpusu</t>
  </si>
  <si>
    <t>A korpusz belső magasságának kiszámítása</t>
  </si>
  <si>
    <t>Calculation of inner height of the cabinet body</t>
  </si>
  <si>
    <t>Bude police v horní části korpusu?</t>
  </si>
  <si>
    <t>Bude polica v hornej časti korpusu?</t>
  </si>
  <si>
    <t>Czy będą półki w górnej części korpusu?</t>
  </si>
  <si>
    <t>Lesz polc a korpusz felső részében?</t>
  </si>
  <si>
    <t>Will there be a shelf in the upper part of the cabinet?</t>
  </si>
  <si>
    <t>Vnitřní výška police</t>
  </si>
  <si>
    <t>Vnútorná výška police</t>
  </si>
  <si>
    <t>wewnętrzna wysokość półki</t>
  </si>
  <si>
    <t>A polc belső magassága</t>
  </si>
  <si>
    <t>Inner height of the shelf</t>
  </si>
  <si>
    <t>Objednací kódy:</t>
  </si>
  <si>
    <t>Objednávacie kódy:</t>
  </si>
  <si>
    <t>Kody artykułów:</t>
  </si>
  <si>
    <t>Megrendelési kódok:</t>
  </si>
  <si>
    <t>Article Nr.:</t>
  </si>
  <si>
    <t>Réf. article:</t>
  </si>
  <si>
    <t>Výsuvy:</t>
  </si>
  <si>
    <t>Prowadnice:</t>
  </si>
  <si>
    <t>Fióksínek:</t>
  </si>
  <si>
    <t>Extensions</t>
  </si>
  <si>
    <t>Množství</t>
  </si>
  <si>
    <t>Množstvo</t>
  </si>
  <si>
    <t>Ilość</t>
  </si>
  <si>
    <t>Mennyiség</t>
  </si>
  <si>
    <t>Amount</t>
  </si>
  <si>
    <t>Kód</t>
  </si>
  <si>
    <t>Kod</t>
  </si>
  <si>
    <t>Article nr.</t>
  </si>
  <si>
    <t>Code</t>
  </si>
  <si>
    <t>Název</t>
  </si>
  <si>
    <t>Názov</t>
  </si>
  <si>
    <t>Nazwa</t>
  </si>
  <si>
    <t>Megnevezés</t>
  </si>
  <si>
    <t>Name:</t>
  </si>
  <si>
    <t>Titre:</t>
  </si>
  <si>
    <t>Přířez čel</t>
  </si>
  <si>
    <t>Prírez čiel</t>
  </si>
  <si>
    <t>Előlapok méretre vágása</t>
  </si>
  <si>
    <t>Front panels dimensions</t>
  </si>
  <si>
    <t>Typ výsuvu</t>
  </si>
  <si>
    <t xml:space="preserve">Typ prowadnicy </t>
  </si>
  <si>
    <t>Fióksín típusa</t>
  </si>
  <si>
    <t>Type of extensions</t>
  </si>
  <si>
    <t>plnovýsuv</t>
  </si>
  <si>
    <t>tlmený plnovýsuv</t>
  </si>
  <si>
    <t>pełny wysuw</t>
  </si>
  <si>
    <t xml:space="preserve"> teljes kihúzású</t>
  </si>
  <si>
    <t>full extension</t>
  </si>
  <si>
    <t>částečný výsuv</t>
  </si>
  <si>
    <t>čiastočný výsuv</t>
  </si>
  <si>
    <t>częściowy wysuw</t>
  </si>
  <si>
    <t>részleges kihúzású</t>
  </si>
  <si>
    <t>partial extension</t>
  </si>
  <si>
    <t>Vzdálenost od hrany</t>
  </si>
  <si>
    <t>Vzdialenosť od hrany</t>
  </si>
  <si>
    <t>Odległość od krawędzi</t>
  </si>
  <si>
    <t>Távolság az élétől</t>
  </si>
  <si>
    <t>Distance from the edge</t>
  </si>
  <si>
    <t>Vrtání zad první zásuvky</t>
  </si>
  <si>
    <t>Vŕtanie zadnej časti prvej zásuvky</t>
  </si>
  <si>
    <t>Wiercenie ścianki  tylnej pierwszej szuflady</t>
  </si>
  <si>
    <t>Az első fiók hátfalának fúrása</t>
  </si>
  <si>
    <t>Drilling pattern for the back panel  - 1st drawer</t>
  </si>
  <si>
    <t>Vrtání zad druhé zásuvky</t>
  </si>
  <si>
    <t>Vŕtanie zadnej časti druhej zásuvky</t>
  </si>
  <si>
    <t>Wiercenie ścianki  tylnej drugiej szuflady</t>
  </si>
  <si>
    <t>A második fiók hátfalának fúrása</t>
  </si>
  <si>
    <t>Drilling pattern for the back panel  - 2nd drawer</t>
  </si>
  <si>
    <t>Vrtání zad třetí zásuvky</t>
  </si>
  <si>
    <t>Vŕtanie zadnej časti tretej zásuvky</t>
  </si>
  <si>
    <t>Wiercenie ścianki  tylnej trzeciej szuflady</t>
  </si>
  <si>
    <t>A harmadik fiók hátfalának fúrása</t>
  </si>
  <si>
    <t>Drilling pattern for the back panel  - 3rd drawer</t>
  </si>
  <si>
    <t>Vrtání zad čtvrté zásuvky</t>
  </si>
  <si>
    <t>Vŕtanie zadnej časti štvrtej zásuvky</t>
  </si>
  <si>
    <t>Wiercenie ścianki  tylnej czwartej szuflady</t>
  </si>
  <si>
    <t>A negyedik fiók hátfalának fúrása</t>
  </si>
  <si>
    <t>Drilling pattern for the back panel  - 4th drawer</t>
  </si>
  <si>
    <t>Vrtání zad páté zásuvky</t>
  </si>
  <si>
    <t>Vŕtanie zadnej časti piatej zásuvky</t>
  </si>
  <si>
    <t>Wiercenie ścianki  tylnej piątej szuflady</t>
  </si>
  <si>
    <t>Az ötödik fiók hátfalának fúrása</t>
  </si>
  <si>
    <t>Drilling pattern for the back panel  - 5th drawer</t>
  </si>
  <si>
    <t>Vyberte typ korpusu:</t>
  </si>
  <si>
    <t>Vyberte typ korpusu</t>
  </si>
  <si>
    <t>Wybierz typ korpusu:</t>
  </si>
  <si>
    <t>Válassza ki a korpusz típusát:</t>
  </si>
  <si>
    <t>Sellect  type of the cabinet</t>
  </si>
  <si>
    <t>Čelní profil:</t>
  </si>
  <si>
    <t>Čelný profil:</t>
  </si>
  <si>
    <t>Profil frontu</t>
  </si>
  <si>
    <t>Előlapi profil:</t>
  </si>
  <si>
    <t>Front panel profile:</t>
  </si>
  <si>
    <t>Držák čelního profilu:</t>
  </si>
  <si>
    <t>Držiak čelného profilu:</t>
  </si>
  <si>
    <t>Mocowanie przedniego profilu  / frontu</t>
  </si>
  <si>
    <t>Előlapi profil tartó:</t>
  </si>
  <si>
    <t>Front handle profile holder:</t>
  </si>
  <si>
    <t>Čelní úchytový reling:</t>
  </si>
  <si>
    <t>Čelný uchytový reling:</t>
  </si>
  <si>
    <t xml:space="preserve">Uchwyt relingowy przedni </t>
  </si>
  <si>
    <t>Előlapi fogantyú reling:</t>
  </si>
  <si>
    <t>Front handle railing:</t>
  </si>
  <si>
    <t>Bočnice:</t>
  </si>
  <si>
    <t xml:space="preserve">boki </t>
  </si>
  <si>
    <t>Oldalfalak:</t>
  </si>
  <si>
    <t>Sidewalls</t>
  </si>
  <si>
    <t>Chybné nastavené typu zásuvek - prosím zkontrolujte tabulku výše</t>
  </si>
  <si>
    <t>Chybne nastavený typ zásuvky - prosím skontrolujte tabuľku vyššie</t>
  </si>
  <si>
    <t>Błędnie ustawiony typ szuflad – proszę sprawdzić tabelę powyżej</t>
  </si>
  <si>
    <t>Helytelenül beállított fióktípus – kérjük ellenőrizze a fenti táblázatot</t>
  </si>
  <si>
    <t>Incorrect drawer type setting – please check the table above</t>
  </si>
  <si>
    <t>Skleněné čelo:</t>
  </si>
  <si>
    <t>Sklenené čelo</t>
  </si>
  <si>
    <t>Szklany front</t>
  </si>
  <si>
    <t>Üveg előlap:</t>
  </si>
  <si>
    <t>Glass front panel</t>
  </si>
  <si>
    <t>Pro zásuvky nestandardní korpusové šířky lze čelní sklo nechat vyrobit u sklenáře.</t>
  </si>
  <si>
    <t>Pre zásuvky s neštandartnou šírkou korpusu si môžete nechať vyrobiť u sklenára.</t>
  </si>
  <si>
    <t>Dla szuflad o niestandardowej szerokości korpusu można zlecić wykonanie szklanego frontu u szklarza</t>
  </si>
  <si>
    <t>Nem szabványos korpuszszélességű fiókok esetén az előlapi üveg egy üvegessel legyártható.</t>
  </si>
  <si>
    <t>For drawers with non-standard cabinet widths, the glass for cabinet front panel can be custom-made by a glazier.</t>
  </si>
  <si>
    <t>Držáky skleněného čela:</t>
  </si>
  <si>
    <t>Držiaky skleneného čela:</t>
  </si>
  <si>
    <t>Mocowania czklanego frontu</t>
  </si>
  <si>
    <t>Üveg előlap tartók:</t>
  </si>
  <si>
    <t>Glass front panel holders</t>
  </si>
  <si>
    <t>Alu profil pro skleněné čelo</t>
  </si>
  <si>
    <t>Alu profil pre sklenené čelo:</t>
  </si>
  <si>
    <t>Aluminiowy profil do szklanego frontu</t>
  </si>
  <si>
    <t>Alu profil üveg előlaphoz</t>
  </si>
  <si>
    <t>ALU profile for the glass front panel</t>
  </si>
  <si>
    <t>Konfigurátor</t>
  </si>
  <si>
    <t>Konfigurator</t>
  </si>
  <si>
    <t>Configurator</t>
  </si>
  <si>
    <t>(Výška zad je počítána pro dno tloušťky 16 mm. Pokud bude dno tloušťky 18 mm, je potřeba z výšky zad odečíst 2 mm)</t>
  </si>
  <si>
    <t>Výška zadnej časti je vypočítaná pre dno s hrúbkou 16mm. Ak bude dno hrúbky 18mm, je potrebné z výšky zadnej časti odpočítať 2mm</t>
  </si>
  <si>
    <t>(Wysokość ścianki tylniej jest obliczana dla dna o grubości 16 mm. Jeśli dno będzie miało grubość 18 mm, należy od wysokości  ścianki tylniej  odjąć 2 mm)</t>
  </si>
  <si>
    <t>(a hátfal magassága 16 mm vastag fenéklapra van számolva. Ha a fenéklap 18 mm vastag, a hátfal magasságából 2 mm-t le kell vonni)</t>
  </si>
  <si>
    <t>(The back panel height is calculated for a bottom panel thickness of 16 mm. If the bottom panel thickness is 18 mm, subtract 2 mm from the back panel height.)</t>
  </si>
  <si>
    <t>v této variantě není</t>
  </si>
  <si>
    <t>v tejto variante nie je</t>
  </si>
  <si>
    <t>W tej wersji nie ma</t>
  </si>
  <si>
    <t>ebben a változatban nincs</t>
  </si>
  <si>
    <t>Not available in this variant</t>
  </si>
  <si>
    <t>DE</t>
  </si>
  <si>
    <t>Sklo</t>
  </si>
  <si>
    <t>JEDNA_VÝŠKA</t>
  </si>
  <si>
    <t>DVĚ_VÝŠKY</t>
  </si>
  <si>
    <t>TŘI_VÝŠKY</t>
  </si>
  <si>
    <t>ČTYŘI_VÝŠKY</t>
  </si>
  <si>
    <t>výška zad</t>
  </si>
  <si>
    <t>89</t>
  </si>
  <si>
    <t>89/121</t>
  </si>
  <si>
    <t>89/121/185</t>
  </si>
  <si>
    <t>89/121/185/249</t>
  </si>
  <si>
    <t>dopočet MAX výška bočnice</t>
  </si>
  <si>
    <t>odečet od celkové výšky</t>
  </si>
  <si>
    <t>výška úchytového profilu</t>
  </si>
  <si>
    <t>jedinná zásuvka</t>
  </si>
  <si>
    <t>dolní zásuvka</t>
  </si>
  <si>
    <t>střední 2. zásuvka</t>
  </si>
  <si>
    <t>horní zásuvka</t>
  </si>
  <si>
    <t>střední 3. zásuvka</t>
  </si>
  <si>
    <t>střední 4. zásuvka</t>
  </si>
  <si>
    <t>3. zásuvka:</t>
  </si>
  <si>
    <t>4. zásuvka:</t>
  </si>
  <si>
    <t>5. zásuvka:</t>
  </si>
  <si>
    <t>min. výška zásuvky</t>
  </si>
  <si>
    <t>výška zásuvky s rezervou</t>
  </si>
  <si>
    <t>navýšení</t>
  </si>
  <si>
    <t>Třetí zásuvka</t>
  </si>
  <si>
    <t>počet zásuvek</t>
  </si>
  <si>
    <t>počet zásuvek&gt;2</t>
  </si>
  <si>
    <t>Čtvrtá zásuvka</t>
  </si>
  <si>
    <t>počet zásuvek&gt;3</t>
  </si>
  <si>
    <t>Pátá zásuvka</t>
  </si>
  <si>
    <t>počet zásuvek=5</t>
  </si>
  <si>
    <t>počet pantů</t>
  </si>
  <si>
    <t>dopočet výšky zásuvek</t>
  </si>
  <si>
    <t>barva:</t>
  </si>
  <si>
    <t>Potřebná výška pro zásuvku</t>
  </si>
  <si>
    <t>min</t>
  </si>
  <si>
    <t>výška úl. prost.</t>
  </si>
  <si>
    <t>min. výška pro zás</t>
  </si>
  <si>
    <t>89 mm</t>
  </si>
  <si>
    <t>121 mm</t>
  </si>
  <si>
    <t>185 mm</t>
  </si>
  <si>
    <t>vn. Výška</t>
  </si>
  <si>
    <t>rozdělení výšky zásuvek</t>
  </si>
  <si>
    <t>dopočet zbývající výšky</t>
  </si>
  <si>
    <t>336108</t>
  </si>
  <si>
    <t>výpočet:</t>
  </si>
  <si>
    <t>Klíčová slova</t>
  </si>
  <si>
    <t>výskyt</t>
  </si>
  <si>
    <t>Plech</t>
  </si>
  <si>
    <t>počet 800</t>
  </si>
  <si>
    <t>počet 1100</t>
  </si>
  <si>
    <t>Z jednoho ks profilu 1100 nařežu relingů:</t>
  </si>
  <si>
    <t>Optimalizace:</t>
  </si>
  <si>
    <t>barva</t>
  </si>
  <si>
    <t>vn. šířka korp-odpočet:</t>
  </si>
  <si>
    <t>Počet černého relingu:</t>
  </si>
  <si>
    <t>800+800</t>
  </si>
  <si>
    <t>800+1100</t>
  </si>
  <si>
    <t>1100+1100</t>
  </si>
  <si>
    <t>800+800+800</t>
  </si>
  <si>
    <t>800+800+1100</t>
  </si>
  <si>
    <t>800+1100+1100</t>
  </si>
  <si>
    <t>800+800+800+800</t>
  </si>
  <si>
    <t>1100+1100+1100</t>
  </si>
  <si>
    <t>800+800+800+1100</t>
  </si>
  <si>
    <t>800+800+1100+1100</t>
  </si>
  <si>
    <t>800+800+800+800+800</t>
  </si>
  <si>
    <t>1100+1100+1100+800</t>
  </si>
  <si>
    <t>800+800+800+800+1100</t>
  </si>
  <si>
    <t>1100+1100+1100+1100</t>
  </si>
  <si>
    <t>800+800+800+1100+1100</t>
  </si>
  <si>
    <t>800+800+1100+1100+1100</t>
  </si>
  <si>
    <t>800+1100+1100+1100+1100</t>
  </si>
  <si>
    <t>1100+1100+1100+1100+1100</t>
  </si>
  <si>
    <t>Import od košíku:</t>
  </si>
  <si>
    <t>Dodání</t>
  </si>
  <si>
    <t>Výška bočnice</t>
  </si>
  <si>
    <t>Barva</t>
  </si>
  <si>
    <t>Délka</t>
  </si>
  <si>
    <t>Keyword</t>
  </si>
  <si>
    <t>K-StrongMax 18 zásuvka H89/300mm, šedá</t>
  </si>
  <si>
    <t>K-StrongMax 18 szuflada H89/300mm, szara</t>
  </si>
  <si>
    <t>K-StrongMax 18 89/300mm 40kg, sötétszürke</t>
  </si>
  <si>
    <t>K-Strongmax 18 Pull-Out H89/300Mm, Grey</t>
  </si>
  <si>
    <t>K-StrongMax 18 zásuvka H89/350mm, šedá</t>
  </si>
  <si>
    <t>K-StrongMax 18 szuflada H89/350mm, szara</t>
  </si>
  <si>
    <t>K-StrongMax 18 89/350mm 40kg, sötétszürke</t>
  </si>
  <si>
    <t>K-Strongmax 18 Pull-Out H89/350Mm, Grey</t>
  </si>
  <si>
    <t>K-StrongMax 18 zásuvka H89/400mm, šedá</t>
  </si>
  <si>
    <t>K-StrongMax 18 szuflada H89/400mm, szara</t>
  </si>
  <si>
    <t>K-StrongMax 18 89/400mm 40kg, sötétszürke</t>
  </si>
  <si>
    <t>K-Strongmax 18 Pull-Out H89/400Mm, Grey</t>
  </si>
  <si>
    <t>K-StrongMax 18 zásuvka H89/450mm, šedá</t>
  </si>
  <si>
    <t>K-StrongMax 18 szuflada H89/450mm, szara</t>
  </si>
  <si>
    <t>K-StrongMax 18 89/450mm 40kg, sötétszürke</t>
  </si>
  <si>
    <t>K-Strongmax 18 Pull-Out H89/450Mm, Grey</t>
  </si>
  <si>
    <t>K-StrongMax 18 zásuvka H89/500mm, šedá</t>
  </si>
  <si>
    <t>K-StrongMax 18 szuflada H89/500mm, szara</t>
  </si>
  <si>
    <t>K-StrongMax 18 89/500mm 40kg, sötétszürke</t>
  </si>
  <si>
    <t>K-Strongmax 18 Pull-Out H89/500Mm, Grey</t>
  </si>
  <si>
    <t>K-StrongMax 18 zásuvka H89/550mm, šedá</t>
  </si>
  <si>
    <t>K-StrongMax 18 szuflada H89/550mm, szara</t>
  </si>
  <si>
    <t>K-StrongMax 18 89/550mm 40kg, sötétszürke</t>
  </si>
  <si>
    <t>K-Strongmax 18 Pull-Out H89/550Mm, Grey</t>
  </si>
  <si>
    <t>K-StrongMax 18 zásuvka H89/600mm, šedá</t>
  </si>
  <si>
    <t>K-StrongMax 18 szuflada H89/600mm, szara</t>
  </si>
  <si>
    <t>K-StrongMax 18 89/600mm 40kg, sötétszürke</t>
  </si>
  <si>
    <t>K-Strongmax 18 Pull-Out H89/600Mm, Grey</t>
  </si>
  <si>
    <t>K-StrongMax 18 zásuvka H89/650mm, šedá</t>
  </si>
  <si>
    <t>K-StrongMax 18 szuflada H89/650mm, szara</t>
  </si>
  <si>
    <t>K-StrongMax 18 89/650mm 40kg, sötétszürke</t>
  </si>
  <si>
    <t>K-Strongmax 18 Pull-Out H89/650Mm, Grey</t>
  </si>
  <si>
    <t>K-StrongMax 18 zásuvka H121/300mm, šedá</t>
  </si>
  <si>
    <t>K-StrongMax 18 szuflada H121/300mm, szara</t>
  </si>
  <si>
    <t>K-StrongMax 18 121/300mm 40kg, sötétszürke</t>
  </si>
  <si>
    <t>K-Strongmax 18 Pull-Out H121/300Mm, Grey</t>
  </si>
  <si>
    <t>K-StrongMax 18 zásuvka H121/350mm, šedá</t>
  </si>
  <si>
    <t>K-StrongMax 18 szuflada H121/350mm, szara</t>
  </si>
  <si>
    <t>K-StrongMax 18 121/350mm 40kg, sötétszürke</t>
  </si>
  <si>
    <t>K-Strongmax 18 Pull-Out H121/350Mm, Grey</t>
  </si>
  <si>
    <t>K-StrongMax 18 zásuvka H121/400mm, šedá</t>
  </si>
  <si>
    <t>K-StrongMax 18 szuflada H121/400mm, szara</t>
  </si>
  <si>
    <t>K-StrongMax 18 121/400mm 40kg, sötétszürke</t>
  </si>
  <si>
    <t>K-Strongmax 18 Pull-Out H121/400Mm, Grey</t>
  </si>
  <si>
    <t>K-StrongMax 18 zásuvka H121/450mm, šedá</t>
  </si>
  <si>
    <t>K-StrongMax 18 szuflada H121/450mm, szara</t>
  </si>
  <si>
    <t>K-StrongMax 18 121/450mm 40kg, sötétszürke</t>
  </si>
  <si>
    <t>K-Strongmax 18 Pull-Out H121/450Mm, Grey</t>
  </si>
  <si>
    <t>K-StrongMax 18 zásuvka H121/500mm, šedá</t>
  </si>
  <si>
    <t>K-StrongMax 18 szuflada H121/500mm, szara</t>
  </si>
  <si>
    <t>K-StrongMax 18 121/500mm 40kg, sötétszürke</t>
  </si>
  <si>
    <t>K-Strongmax 18 Pull-Out H121/500Mm, Grey</t>
  </si>
  <si>
    <t>K-StrongMax 18 zásuvka H121/550mm, šedá</t>
  </si>
  <si>
    <t>K-StrongMax 18 szuflada H121/550mm, szara</t>
  </si>
  <si>
    <t>K-StrongMax 18 121/550mm 40kg, sötétszürke</t>
  </si>
  <si>
    <t>K-Strongmax 18 Pull-Out H121/550Mm, Grey</t>
  </si>
  <si>
    <t>K-StrongMax 18 zásuvka H121/600mm, šedá</t>
  </si>
  <si>
    <t>K-StrongMax 18 szuflada H121/600mm, szara</t>
  </si>
  <si>
    <t>K-StrongMax 18 121/600mm 40kg, sötétszürke</t>
  </si>
  <si>
    <t>K-Strongmax 18 Pull-Out H121/600Mm, Grey</t>
  </si>
  <si>
    <t>K-StrongMax 18 zásuvka H121/650mm, šedá</t>
  </si>
  <si>
    <t>K-StrongMax 18 szuflada H121/650mm, szara</t>
  </si>
  <si>
    <t>K-StrongMax 18 121/650mm 40kg, sötétszürke</t>
  </si>
  <si>
    <t>K-Strongmax 18 Pull-Out H121/650Mm, Grey</t>
  </si>
  <si>
    <t>K-StrongMax 18 zásuvka H185/300mm, šedá</t>
  </si>
  <si>
    <t>K-StrongMax 18 szuflada H185/300mm, szara</t>
  </si>
  <si>
    <t>K-StrongMax 18 185/300mm 40kg, sötétszürke</t>
  </si>
  <si>
    <t>K-Strongmax 18 Pull-Out H185/300Mm, Grey</t>
  </si>
  <si>
    <t>K-StrongMax 18 zásuvka H185/350mm, šedá</t>
  </si>
  <si>
    <t>K-StrongMax 18 szuflada H185/350mm, szara</t>
  </si>
  <si>
    <t>K-StrongMax 18 185/350mm 40kg, sötétszürke</t>
  </si>
  <si>
    <t>K-Strongmax 18 Pull-Out H185/350Mm, Grey</t>
  </si>
  <si>
    <t>K-StrongMax 18 zásuvka H185/400mm, šedá</t>
  </si>
  <si>
    <t>K-StrongMax 18 szuflada H185/400mm, szara</t>
  </si>
  <si>
    <t>K-StrongMax 18 185/400mm 40kg, sötétszürke</t>
  </si>
  <si>
    <t>K-Strongmax 18 Pull-Out H185/400Mm, Grey</t>
  </si>
  <si>
    <t>K-StrongMax 18 zásuvka H185/450mm, šedá</t>
  </si>
  <si>
    <t>K-StrongMax 18 szuflada H185/450mm, szara</t>
  </si>
  <si>
    <t>K-StrongMax 18 185/450mm 40kg, sötétszürke</t>
  </si>
  <si>
    <t>K-Strongmax 18 Pull-Out H185/450Mm, Grey</t>
  </si>
  <si>
    <t>K-StrongMax 18 zásuvka H185/500mm, šedá</t>
  </si>
  <si>
    <t>K-StrongMax 18 szuflada H185/500mm, szara</t>
  </si>
  <si>
    <t>K-StrongMax 18 185/500mm 40kg, sötétszürke</t>
  </si>
  <si>
    <t>K-Strongmax 18 Pull-Out H185/500Mm, Grey</t>
  </si>
  <si>
    <t>K-StrongMax 18 zásuvka H185/550mm, šedá</t>
  </si>
  <si>
    <t>K-StrongMax 18 szuflada H185/550mm, szara</t>
  </si>
  <si>
    <t>K-StrongMax 18 185/550mm 40kg, sötétszürke</t>
  </si>
  <si>
    <t>K-Strongmax 18 Pull-Out H185/550Mm, Grey</t>
  </si>
  <si>
    <t>K-StrongMax 18 zásuvka H185/600mm, šedá</t>
  </si>
  <si>
    <t>K-StrongMax 18 szuflada H185/600mm, szara</t>
  </si>
  <si>
    <t>K-StrongMax 18 185/600mm 40kg, sötétszürke</t>
  </si>
  <si>
    <t>K-Strongmax 18 Pull-Out H185/600Mm, Grey</t>
  </si>
  <si>
    <t>K-StrongMax 18 zásuvka H185/650mm, šedá</t>
  </si>
  <si>
    <t>K-StrongMax 18 szuflada H185/650mm, szara</t>
  </si>
  <si>
    <t>K-StrongMax 18 185/650mm 40kg, sötétszürke</t>
  </si>
  <si>
    <t>K-Strongmax 18 Pull-Out H185/650Mm, Grey</t>
  </si>
  <si>
    <t>K-StrongMax 18 zásuvka H249/450mm, šedá</t>
  </si>
  <si>
    <t>K-StrongMax 18 szuflada H249/450mm, szara</t>
  </si>
  <si>
    <t>K-StrongMax 18 249/450mm 40kg, sötétszürke</t>
  </si>
  <si>
    <t>K-Strongmax 18 Pull-Out H249/450Mm, Grey</t>
  </si>
  <si>
    <t>K-StrongMax 18 zásuvka H249/500mm, šedá</t>
  </si>
  <si>
    <t>K-StrongMax 18 szuflada H249/500mm, szara</t>
  </si>
  <si>
    <t>K-StrongMax 18 249/500mm 40kg, sötétszürke</t>
  </si>
  <si>
    <t>K-Strongmax 18 Pull-Out H249/500Mm, Grey</t>
  </si>
  <si>
    <t>K-StrongMax 18 zásuvka H249/550mm, šedá</t>
  </si>
  <si>
    <t>K-StrongMax 18 szuflada H249/550mm, szara</t>
  </si>
  <si>
    <t>K-StrongMax 18 249/550mm 40kg, sötétszürke</t>
  </si>
  <si>
    <t>K-Strongmax 18 Pull-Out H249/550Mm, Grey</t>
  </si>
  <si>
    <t>K-StrongMax 18 zásuvka H249/600mm, šedá</t>
  </si>
  <si>
    <t>K-StrongMax 18 szuflada H249/600mm, szara</t>
  </si>
  <si>
    <t>K-StrongMax 18 249/600mm 40kg, sötétszürke</t>
  </si>
  <si>
    <t>K-Strongmax 18 Pull-Out H249/600Mm, Grey</t>
  </si>
  <si>
    <t>K-StrongMax 18 zásuvka H249/650mm, šedá</t>
  </si>
  <si>
    <t>K-StrongMax 18 szuflada H249/650mm, szara</t>
  </si>
  <si>
    <t>K-StrongMax 18 249/650mm 40kg, sötétszürke</t>
  </si>
  <si>
    <t>K-Strongmax 18 Pull-Out H249/650Mm, Grey</t>
  </si>
  <si>
    <t>K-StrongMax 18 zásuvka H185/450mm, prosklené bočnice, šedá</t>
  </si>
  <si>
    <t>K-StrongMax 18 zásuvka H185/450mm, presklené bočnice,šedá</t>
  </si>
  <si>
    <t>K-StrongMax 18 szuflada H185/450mm, przeszklone boki, szara</t>
  </si>
  <si>
    <t>K-StrongMax 18 185/450mm 40kg, üvegezett oldalak, sötétszürke</t>
  </si>
  <si>
    <t>K-Strongmax 18 Pull-Out H185/450Mm, Glass Drawer Side, Grey</t>
  </si>
  <si>
    <t>K-StrongMax 18 zásuvka H185/500mm, prosklené bočnice, šedá</t>
  </si>
  <si>
    <t>K-StrongMax 18 zásuvka H185/500mm, presklené bočnice,šedá</t>
  </si>
  <si>
    <t>K-StrongMax 18 szuflada H185/500mm, przeszklone boki, szara</t>
  </si>
  <si>
    <t>K-StrongMax 18 185/500mm 40kg, üvegezett oldalak, sötétszürke</t>
  </si>
  <si>
    <t>K-Strongmax 18 Pull-Out H185/500Mm, Glass Drawer Side, Grey</t>
  </si>
  <si>
    <t>K-StrongMax 18 zásuvka H185/550mm, prosklené bočnice, šedá</t>
  </si>
  <si>
    <t>K-StrongMax 18 zásuvka H185/550mm, presklené bočnice,šedá</t>
  </si>
  <si>
    <t>K-StrongMax 18 szuflada H185/550mm, przeszklone boki, szara</t>
  </si>
  <si>
    <t>K-StrongMax 18 185/550mm 40kg, üvegezett oldalak, sötétszürke</t>
  </si>
  <si>
    <t>K-Strongmax 18 Pull-Out H185/550Mm, Glass Drawer Side, Grey</t>
  </si>
  <si>
    <t>K-StrongMax 18 zásuvka H89/300mm, bílá</t>
  </si>
  <si>
    <t>K-StrongMax 18 zásuvka H89/300mm, biela</t>
  </si>
  <si>
    <t>K-StrongMax 18 szuflada H89/300mm, biała</t>
  </si>
  <si>
    <t>K-StrongMax 18 89/300mm 40kg, fehér</t>
  </si>
  <si>
    <t>K-Strongmax 18 Pull-Out H89/300Mm, White</t>
  </si>
  <si>
    <t>K-StrongMax 18 zásuvka H89/350mm, bílá</t>
  </si>
  <si>
    <t>K-StrongMax 18 zásuvka H89/350mm, biela</t>
  </si>
  <si>
    <t>K-StrongMax 18 szuflada H89/350mm, biała</t>
  </si>
  <si>
    <t>K-StrongMax 18 89/350mm 40kg, fehér</t>
  </si>
  <si>
    <t>K-Strongmax 18 Pull-Out H89/350Mm, White</t>
  </si>
  <si>
    <t>K-StrongMax 18 zásuvka H89/400mm, bílá</t>
  </si>
  <si>
    <t>K-StrongMax 18 zásuvka H89/400mm, biela</t>
  </si>
  <si>
    <t>K-StrongMax 18 szuflada H89/400mm, biała</t>
  </si>
  <si>
    <t>K-StrongMax 18 89/400mm 40kg, fehér</t>
  </si>
  <si>
    <t>K-Strongmax 18 Pull-Out H89/400Mm, White</t>
  </si>
  <si>
    <t>K-StrongMax 18 zásuvka H89/450mm, bílá</t>
  </si>
  <si>
    <t>K-StrongMax 18 zásuvka H89/450mm, biela</t>
  </si>
  <si>
    <t>K-StrongMax 18 szuflada H89/450mm, biała</t>
  </si>
  <si>
    <t>K-StrongMax 18 89/450mm 40kg, fehér</t>
  </si>
  <si>
    <t>K-Strongmax 18 Pull-Out H89/450Mm, White</t>
  </si>
  <si>
    <t>K-StrongMax 18 zásuvka H89/500mm, bílá</t>
  </si>
  <si>
    <t>K-StrongMax 18 zásuvka H89/500mm, biela</t>
  </si>
  <si>
    <t>K-StrongMax 18 szuflada H89/500mm, biała</t>
  </si>
  <si>
    <t>K-StrongMax 18 89/500mm 40kg, fehér</t>
  </si>
  <si>
    <t>K-Strongmax 18 Pull-Out H89/500Mm, White</t>
  </si>
  <si>
    <t>K-StrongMax 18 zásuvka H89/550mm, bílá</t>
  </si>
  <si>
    <t>K-StrongMax 18 zásuvka H89/550mm, biela</t>
  </si>
  <si>
    <t>K-StrongMax 18 szuflada H89/550mm, biała</t>
  </si>
  <si>
    <t>K-StrongMax 18 89/550mm 40kg, fehér</t>
  </si>
  <si>
    <t>K-Strongmax 18 Pull-Out H89/550Mm, White</t>
  </si>
  <si>
    <t>K-StrongMax 18 zásuvka H89/600mm, bílá</t>
  </si>
  <si>
    <t>K-StrongMax 18 zásuvka H89/600mm, biela</t>
  </si>
  <si>
    <t>K-StrongMax 18 szuflada H89/600mm, biała</t>
  </si>
  <si>
    <t>K-StrongMax 18 89/600mm 40kg, fehér</t>
  </si>
  <si>
    <t>K-Strongmax 18 Pull-Out H89/600Mm, White</t>
  </si>
  <si>
    <t>K-StrongMax 18 zásuvka H89/650mm, bílá</t>
  </si>
  <si>
    <t>K-StrongMax 18 zásuvka H89/650mm, biela</t>
  </si>
  <si>
    <t>K-StrongMax 18 szuflada H89/650mm, biała</t>
  </si>
  <si>
    <t>K-StrongMax 18 89/650mm 40kg, fehér</t>
  </si>
  <si>
    <t>K-Strongmax 18 Pull-Out H89/650Mm, White</t>
  </si>
  <si>
    <t>K-StrongMax 18 zásuvka H121/300mm, bílá</t>
  </si>
  <si>
    <t>K-StrongMax 18 zásuvka H121/300mm, biela</t>
  </si>
  <si>
    <t>K-StrongMax 18 szuflada H121/300mm, biała</t>
  </si>
  <si>
    <t>K-StrongMax 18 121/300mm 40kg, fehér</t>
  </si>
  <si>
    <t>K-Strongmax 18 Pull-Out H121/300Mm, White</t>
  </si>
  <si>
    <t>K-StrongMax 18 zásuvka H121/350mm, bílá</t>
  </si>
  <si>
    <t>K-StrongMax 18 zásuvka H121/350mm, biela</t>
  </si>
  <si>
    <t>K-StrongMax 18 szuflada H121/350mm, biała</t>
  </si>
  <si>
    <t>K-StrongMax 18 121/350mm 40kg, fehér</t>
  </si>
  <si>
    <t>K-Strongmax 18 Pull-Out H121/350Mm, White</t>
  </si>
  <si>
    <t>K-StrongMax 18 zásuvka H121/400mm, bílá</t>
  </si>
  <si>
    <t>K-StrongMax 18 zásuvka H121/400mm, biela</t>
  </si>
  <si>
    <t>K-StrongMax 18 szuflada H121/400mm, biała</t>
  </si>
  <si>
    <t>K-StrongMax 18 121/400mm 40kg, fehér</t>
  </si>
  <si>
    <t>K-Strongmax 18 Pull-Out H121/400Mm, White</t>
  </si>
  <si>
    <t>K-StrongMax 18 zásuvka H121/450mm, bílá</t>
  </si>
  <si>
    <t>K-StrongMax 18 zásuvka H121/450mm, biela</t>
  </si>
  <si>
    <t>K-StrongMax 18 szuflada H121/450mm, biała</t>
  </si>
  <si>
    <t>K-StrongMax 18 121/450mm 40kg, fehér</t>
  </si>
  <si>
    <t>K-Strongmax 18 Pull-Out H121/450Mm, White</t>
  </si>
  <si>
    <t>K-StrongMax 18 zásuvka H121/500mm, bílá</t>
  </si>
  <si>
    <t>K-StrongMax 18 zásuvka H121/500mm, biela</t>
  </si>
  <si>
    <t>K-StrongMax 18 szuflada H121/500mm, biała</t>
  </si>
  <si>
    <t>K-StrongMax 18 121/500mm 40kg, fehér</t>
  </si>
  <si>
    <t>K-Strongmax 18 Pull-Out H121/500Mm, White</t>
  </si>
  <si>
    <t>K-StrongMax 18 zásuvka H121/550mm, bílá</t>
  </si>
  <si>
    <t>K-StrongMax 18 zásuvka H121/550mm, biela</t>
  </si>
  <si>
    <t>K-StrongMax 18 szuflada H121/550mm, biała</t>
  </si>
  <si>
    <t>K-StrongMax 18 121/550mm 40kg, fehér</t>
  </si>
  <si>
    <t>K-Strongmax 18 Pull-Out H121/550Mm, White</t>
  </si>
  <si>
    <t>K-StrongMax 18 zásuvka H121/600mm, bílá</t>
  </si>
  <si>
    <t>K-StrongMax 18 zásuvka H121/600mm, biela</t>
  </si>
  <si>
    <t>K-StrongMax 18 szuflada H121/600mm, biała</t>
  </si>
  <si>
    <t>K-StrongMax 18 121/600mm 40kg, fehér</t>
  </si>
  <si>
    <t>K-Strongmax 18 Pull-Out H121/600Mm, White</t>
  </si>
  <si>
    <t>K-StrongMax 18 zásuvka H121/650mm, bílá</t>
  </si>
  <si>
    <t>K-StrongMax 18 zásuvka H121/650mm, biela</t>
  </si>
  <si>
    <t>K-StrongMax 18 szuflada H121/650mm, biała</t>
  </si>
  <si>
    <t>K-StrongMax 18 121/650mm 40kg, fehér</t>
  </si>
  <si>
    <t>K-Strongmax 18 Pull-Out H121/650Mm, White</t>
  </si>
  <si>
    <t>K-StrongMax 18 zásuvka H185/300mm, bílá</t>
  </si>
  <si>
    <t>K-StrongMax 18 zásuvka H185/300mm, biela</t>
  </si>
  <si>
    <t>K-StrongMax 18 szuflada H185/300mm, biała</t>
  </si>
  <si>
    <t>K-StrongMax 18 185/300mm 40kg, fehér</t>
  </si>
  <si>
    <t>K-Strongmax 18 Pull-Out H185/300Mm, White</t>
  </si>
  <si>
    <t>K-StrongMax 18 zásuvka H185/350mm, bílá</t>
  </si>
  <si>
    <t>K-StrongMax 18 zásuvka H185/350mm, biela</t>
  </si>
  <si>
    <t>K-StrongMax 18 szuflada H185/350mm, biała</t>
  </si>
  <si>
    <t>K-StrongMax 18 185/350mm 40kg, fehér</t>
  </si>
  <si>
    <t>K-Strongmax 18 Pull-Out H185/350Mm, White</t>
  </si>
  <si>
    <t>K-StrongMax 18 zásuvka H185/400mm, bílá</t>
  </si>
  <si>
    <t>K-StrongMax 18 zásuvka H185/400mm, biela</t>
  </si>
  <si>
    <t>K-StrongMax 18 szuflada H185/400mm, biała</t>
  </si>
  <si>
    <t>K-StrongMax 18 185/400mm 40kg, fehér</t>
  </si>
  <si>
    <t>K-Strongmax 18 Pull-Out H185/400Mm, White</t>
  </si>
  <si>
    <t>K-StrongMax 18 zásuvka H185/450mm, bílá</t>
  </si>
  <si>
    <t>K-StrongMax 18 zásuvka H185/450mm, biela</t>
  </si>
  <si>
    <t>K-StrongMax 18 szuflada H185/450mm, biała</t>
  </si>
  <si>
    <t>K-StrongMax 18 185/450mm 40kg, fehér</t>
  </si>
  <si>
    <t>K-Strongmax 18 Pull-Out H185/450Mm, White</t>
  </si>
  <si>
    <t>K-StrongMax 18 zásuvka H185/500mm, bílá</t>
  </si>
  <si>
    <t>K-StrongMax 18 zásuvka H185/500mm, biela</t>
  </si>
  <si>
    <t>K-StrongMax 18 szuflada H185/500mm, biała</t>
  </si>
  <si>
    <t>K-StrongMax 18 185/500mm 40kg, fehér</t>
  </si>
  <si>
    <t>K-Strongmax 18 Pull-Out H185/500Mm, White</t>
  </si>
  <si>
    <t>K-StrongMax 18 zásuvka H185/550mm, bílá</t>
  </si>
  <si>
    <t>K-StrongMax 18 zásuvka H185/550mm, biela</t>
  </si>
  <si>
    <t>K-StrongMax 18 szuflada H185/550mm, biała</t>
  </si>
  <si>
    <t>K-StrongMax 18 185/550mm 40kg, fehér</t>
  </si>
  <si>
    <t>K-Strongmax 18 Pull-Out H185/550Mm, White</t>
  </si>
  <si>
    <t>K-StrongMax 18 zásuvka H185/600mm, bílá</t>
  </si>
  <si>
    <t>K-StrongMax 18 zásuvka H185/600mm, biela</t>
  </si>
  <si>
    <t>K-StrongMax 18 szuflada H185/600mm, biała</t>
  </si>
  <si>
    <t>K-StrongMax 18 185/600mm 40kg, fehér</t>
  </si>
  <si>
    <t>K-Strongmax 18 Pull-Out H185/600Mm, White</t>
  </si>
  <si>
    <t>K-StrongMax 18 zásuvka H185/650mm, bílá</t>
  </si>
  <si>
    <t>K-StrongMax 18 zásuvka H185/650mm, biela</t>
  </si>
  <si>
    <t>K-StrongMax 18 szuflada H185/650mm, biała</t>
  </si>
  <si>
    <t>K-StrongMax 18 185/650mm 40kg, fehér</t>
  </si>
  <si>
    <t>K-Strongmax 18 Pull-Out H185/650Mm, White</t>
  </si>
  <si>
    <t>K-StrongMax 18 zásuvka H249/450mm, bílá</t>
  </si>
  <si>
    <t>K-StrongMax 18 zásuvka H249/450mm, biela</t>
  </si>
  <si>
    <t>K-StrongMax 18 szuflada H249/450mm, biała</t>
  </si>
  <si>
    <t>K-StrongMax 18 249/450mm 40kg, fehér</t>
  </si>
  <si>
    <t>K-Strongmax 18 Pull-Out H249/450Mm, White</t>
  </si>
  <si>
    <t>K-StrongMax 18 zásuvka H249/500mm, bílá</t>
  </si>
  <si>
    <t>K-StrongMax 18 zásuvka H249/500mm, biela</t>
  </si>
  <si>
    <t>K-StrongMax 18 szuflada H249/500mm, biała</t>
  </si>
  <si>
    <t>K-StrongMax 18 249/500mm 40kg, fehér</t>
  </si>
  <si>
    <t>K-Strongmax 18 Pull-Out H249/500Mm, White</t>
  </si>
  <si>
    <t>K-StrongMax 18 zásuvka H249/550mm, bílá</t>
  </si>
  <si>
    <t>K-StrongMax 18 zásuvka H249/550mm, biela</t>
  </si>
  <si>
    <t>K-StrongMax 18 szuflada H249/550mm, biała</t>
  </si>
  <si>
    <t>K-StrongMax 18 249/550mm 40kg, fehér</t>
  </si>
  <si>
    <t>K-Strongmax 18 Pull-Out H249/550Mm, White</t>
  </si>
  <si>
    <t>K-StrongMax 18 zásuvka H249/600mm, bílá</t>
  </si>
  <si>
    <t>K-StrongMax 18 zásuvka H249/600mm, biela</t>
  </si>
  <si>
    <t>K-StrongMax 18 szuflada H249/600mm, biała</t>
  </si>
  <si>
    <t>K-StrongMax 18 249/600mm 40kg, fehér</t>
  </si>
  <si>
    <t>K-Strongmax 18 Pull-Out H249/600Mm, White</t>
  </si>
  <si>
    <t>K-StrongMax 18 zásuvka H249/650mm, bílá</t>
  </si>
  <si>
    <t>K-StrongMax 18 zásuvka H249/650mm, biela</t>
  </si>
  <si>
    <t>K-StrongMax 18 szuflada H249/650mm, biała</t>
  </si>
  <si>
    <t>K-StrongMax 18 249/650mm 40kg, fehér</t>
  </si>
  <si>
    <t>K-Strongmax 18 Pull-Out H249/650Mm, White</t>
  </si>
  <si>
    <t>K-StrongMax 18 zásuvka H185/450mm, prosklené bočnice, bílá</t>
  </si>
  <si>
    <t>K-StrongMax 18 zásuvka H185/450mm, presklené bočnice,biela</t>
  </si>
  <si>
    <t>K-StrongMax 18 szuflada H185/450mm, przeszklone boki, biała</t>
  </si>
  <si>
    <t>K-StrongMax 18 185/450mm 40kg, üveg oldalak, fehér</t>
  </si>
  <si>
    <t>K-Strongmax 18 Pull-Out H185/450Mm, Glass Drawer Side, White</t>
  </si>
  <si>
    <t>K-StrongMax 18 zásuvka H185/500mm, prosklené bočnice, bílá</t>
  </si>
  <si>
    <t>K-StrongMax 18 zásuvka H185/500mm, presklené bočnice,biela</t>
  </si>
  <si>
    <t>K-StrongMax 18 szuflada H185/500mm, przeszklone boki, biała</t>
  </si>
  <si>
    <t>K-StrongMax 18 185/500mm 40kg, üvegezett oldalak, fehér</t>
  </si>
  <si>
    <t>K-Strongmax 18 Pull-Out H185/500Mm, Glass Drawer Side, White</t>
  </si>
  <si>
    <t>K-StrongMax 18 zásuvka H185/550mm, prosklené bočnice, bílá</t>
  </si>
  <si>
    <t>K-StrongMax 18 zásuvka H185/550mm, presklené bočnice,biela</t>
  </si>
  <si>
    <t>K-StrongMax 18 szuflada H185/550mm, przeszklone boki, biała</t>
  </si>
  <si>
    <t>K-StrongMax 18 185/550mm 40kg, üvegezett oldalak, fehér</t>
  </si>
  <si>
    <t>K-Strongmax 18 Pull-Out H185/550Mm, Glass Drawer Side, White</t>
  </si>
  <si>
    <t>K-StrongMax 18 zásuvka H89/450mm, černá</t>
  </si>
  <si>
    <t>K-StrongMax 18 zásuvka H89/450mm, čierna</t>
  </si>
  <si>
    <t>K-StrongMax 18 szuflada H89/450mm, czarna</t>
  </si>
  <si>
    <t>K-StrongMax 18 89/450mm 40kg, fekete</t>
  </si>
  <si>
    <t>K-Strongmax 18 Pull-Out H89/450Mm, Black</t>
  </si>
  <si>
    <t>K-StrongMax 18 zásuvka H89/500mm, černá</t>
  </si>
  <si>
    <t>K-StrongMax 18 zásuvka H89/500mm, čierna</t>
  </si>
  <si>
    <t>K-StrongMax 18 szuflada H89/500mm, czarna</t>
  </si>
  <si>
    <t>K-StrongMax 18 89/500mm 40kg, fekete</t>
  </si>
  <si>
    <t>K-Strongmax 18 Pull-Out H89/500Mm, Black</t>
  </si>
  <si>
    <t>K-StrongMax 18 zásuvka H121/450mm, černá</t>
  </si>
  <si>
    <t>K-StrongMax 18 zásuvka H121/450mm, čierna</t>
  </si>
  <si>
    <t>K-StrongMax 18 szuflada H121/450mm, czarna</t>
  </si>
  <si>
    <t>K-StrongMax 18 121/450mm 40kg, fekete</t>
  </si>
  <si>
    <t>K-Strongmax 18 Pull-Out H121/450Mm, Black</t>
  </si>
  <si>
    <t>K-StrongMax 18 zásuvka H121/500mm, černá</t>
  </si>
  <si>
    <t>K-StrongMax 18 zásuvka H121/500mm, čierna</t>
  </si>
  <si>
    <t>K-StrongMax 18 szuflada H121/500mm, czarna</t>
  </si>
  <si>
    <t>K-StrongMax 18 121/500mm 40kg, fekete</t>
  </si>
  <si>
    <t>K-Strongmax 18 Pull-Out H121/500Mm, Black</t>
  </si>
  <si>
    <t>K-StrongMax 18 zásuvka H185/450mm, černá</t>
  </si>
  <si>
    <t>K-StrongMax 18 zásuvka H185/450mm, čierna</t>
  </si>
  <si>
    <t>K-StrongMax 18 szuflada H185/450mm, czarna</t>
  </si>
  <si>
    <t>K-StrongMax 18 185/450mm 40kg, fekete</t>
  </si>
  <si>
    <t>K-Strongmax 18 Pull-Out H185/450Mm, Black</t>
  </si>
  <si>
    <t>K-StrongMax 18 zásuvka H185/500mm, černá</t>
  </si>
  <si>
    <t>K-StrongMax 18 zásuvka H185/500mm, čierna</t>
  </si>
  <si>
    <t>K-StrongMax 18 szuflada H185/500mm, czarna</t>
  </si>
  <si>
    <t>K-StrongMax 18 185/500mm 40kg, fekete</t>
  </si>
  <si>
    <t>K-Strongmax 18 Pull-Out H185/500Mm, Black</t>
  </si>
  <si>
    <t>K-StrongMax 18 zásuvka H249/450mm, černá</t>
  </si>
  <si>
    <t>K-StrongMax 18 zásuvka H249/450mm, čierna</t>
  </si>
  <si>
    <t>K-StrongMax 18 szuflada H249/450mm, czarna</t>
  </si>
  <si>
    <t>K-StrongMax 18 249/450mm 40kg, fekete</t>
  </si>
  <si>
    <t>K-Strongmax 18 Pull-Out H249/450Mm, Black</t>
  </si>
  <si>
    <t>K-StrongMax 18 zásuvka H249/500mm, černá</t>
  </si>
  <si>
    <t>K-StrongMax 18 zásuvka H249/500mm, čierna</t>
  </si>
  <si>
    <t>K-StrongMax 18 szuflada H249/500mm, czarna</t>
  </si>
  <si>
    <t>K-StrongMax 18 249/500mm 40kg, fekete</t>
  </si>
  <si>
    <t>K-Strongmax 18 Pull-Out H249/500Mm, Black</t>
  </si>
  <si>
    <t>K-StrongMax 18 zásuvka H185/450mm, prosklené bočnice, černá</t>
  </si>
  <si>
    <t>K-StrongMax 18 zásuvka H185/450mm, presklené bočnice,čierna</t>
  </si>
  <si>
    <t>K-StrongMax 18 szuflada H185/450mm, przeszklone boki, czarna</t>
  </si>
  <si>
    <t>K-StrongMax 18 185/450mm 40kg, üvegezett oldalak, fekete</t>
  </si>
  <si>
    <t>K-Strongmax 18 Pull-Out H185/450Mm, Glass Drawer Side, Black</t>
  </si>
  <si>
    <t>K-StrongMax 18 zásuvka H185/500mm, prosklené bočnice, černá</t>
  </si>
  <si>
    <t>K-StrongMax 18 zásuvka H185/500mm, presklené bočnice,čierna</t>
  </si>
  <si>
    <t>K-StrongMax 18 szuflada H185/500mm, przeszklone boki, czarna</t>
  </si>
  <si>
    <t>K-StrongMax 18 185/500mm 40kg, üvegezett oldalak, fekete</t>
  </si>
  <si>
    <t>K-Strongmax 18 Pull-Out H185/500Mm, Glass Drawer Side, Black</t>
  </si>
  <si>
    <t>n/a</t>
  </si>
  <si>
    <t>STRONG označovací šablona pro výsuvy nerezová</t>
  </si>
  <si>
    <t>STRONG označovacia šablona pro výsuvy nerezová</t>
  </si>
  <si>
    <t>STRONG szablon ze stali nierdzewnej do wiercenia prowadnic</t>
  </si>
  <si>
    <t>STRONG fióksín jelölő sablon nemesacél</t>
  </si>
  <si>
    <t>STRONG template for Strong slides - stainless steel</t>
  </si>
  <si>
    <t>402264</t>
  </si>
  <si>
    <t>StrongMax 16/18 čelní sklo, vnitřní zásuvka H121/KB500, bok DTDL16, 413x76x8mm</t>
  </si>
  <si>
    <t>StrongMax 16/18 čelné sklo, vnútorná zásuvka H121/KB500, bok DTDL16, 413x44x8mm</t>
  </si>
  <si>
    <t>StrongMax 16 szklany front, szuflada wew., H121/KB500, Korpus 16mm, 413x76x8mm</t>
  </si>
  <si>
    <t>StrongMax 16/18 üvegbetét belső fiókhoz H121 413x76x8mm KB500 (DTDL16)</t>
  </si>
  <si>
    <t>Strongmax 16/18 Glass Front, Inner Pull-Out H121/Kb500, Bok Dtdl16, 413X76X8Mm</t>
  </si>
  <si>
    <t>402265</t>
  </si>
  <si>
    <t>StrongMax 16/18 čelní sklo, vnitřní zásuvka H121/KB600, bok DTDL16, 513x76x8mm</t>
  </si>
  <si>
    <t>StrongMax 16/18 čelné sklo, vnútorná zásuvka H121/KB600, bok DTDL16, 513x44x8mm</t>
  </si>
  <si>
    <t>StrongMax 16 szklany front, szuflada wew., H121/KB600, Korpus 16mm,  513x76x8mm</t>
  </si>
  <si>
    <t>StrongMax 16/18 üvegbetét belső fiókhoz H121 513x76x8mm KB600 (DTDL16)</t>
  </si>
  <si>
    <t>Strongmax 16/18 Glass Front, Inner Pull-Out H121/Kb600, Bok Dtdl16, 513X76X8Mm</t>
  </si>
  <si>
    <t>402266</t>
  </si>
  <si>
    <t>StrongMax 16/18 čelní sklo, vnitřní zásuvka H121/KB800, bok DTDL16, 713x76x8mm</t>
  </si>
  <si>
    <t>StrongMax 16/18 čelné sklo, vnútorná zásuvka H121/KB800, bok DTDL16, 713x44x8mm</t>
  </si>
  <si>
    <t>StrongMax 16 szklany front, szuflada wew., H121/KB800, Korpus 16mm, 713x76x8mm</t>
  </si>
  <si>
    <t>StrongMax 16/18 üvegbetét belső fiókhoz H121 713x76x8mm KB800 (DTDL16)</t>
  </si>
  <si>
    <t>Strongmax 16/18 Glass Front, Inner Pull-Out H121/Kb800, Bok Dtdl16, 713X76X8Mm</t>
  </si>
  <si>
    <t>403174</t>
  </si>
  <si>
    <t>StrongMax 16/18 čelní sklo, vnitřní zásuvka H121/KB800, bok DTDL16, 813x76x8mm</t>
  </si>
  <si>
    <t>StrongMax 16/18 čelné sklo, vnútorná zásuvka H121/KB800, bok DTDL16, 813x44x8mm</t>
  </si>
  <si>
    <t>StrongMax 16 szklany front, szuflada wew, H121/KB800, Korpus 16mm, 813x76x8mm</t>
  </si>
  <si>
    <t>StrongMax 16/18 üvegbetét belső fiókhoz H121 813x76x8mm KB800 (DTDL16)</t>
  </si>
  <si>
    <t>Strongmax 16/18 Glass Front, Inner Pull-Out H121/Kb800, Bok Dtdl16, 813X76X8Mm</t>
  </si>
  <si>
    <t>402267</t>
  </si>
  <si>
    <t>StrongMax 16/18 čelní sklo, vnitřní zásuvka H185/KB500, bok DTDL16, 413x140x8mm</t>
  </si>
  <si>
    <t>StrongMax 16/18 čelné sklo, vnútorná zásuvka H185/KB500, bok DTDL16, 413x44x8mm</t>
  </si>
  <si>
    <t>StrongMax 16 szklany front, szuflada wew., H185/KB500, Korpus 16mm,  413x140x8mm</t>
  </si>
  <si>
    <t>StrongMax 16/18 üvegbetét belső fiókhoz H185 413x140x8mm KB500 (DTDL16)</t>
  </si>
  <si>
    <t>Strongmax 16/18 Glass Front, Inner Pull-Out H185/Kb500, Bok Dtdl16, 413X140X8Mm</t>
  </si>
  <si>
    <t>402268</t>
  </si>
  <si>
    <t>StrongMax 16/18 čelní sklo, vnitřní zásuvka H185/KB600, bok DTDL16, 513x140x8mm</t>
  </si>
  <si>
    <t>StrongMax 16/18 čelné sklo, vnútorná zásuvka H185/KB600, bok DTDL16, 513x44x8mm</t>
  </si>
  <si>
    <t>StrongMax 16 szklany front, szuflada wew., H185/KB600, Korpus 16mm, 513x140x8mm</t>
  </si>
  <si>
    <t>StrongMax 16/18 üvegbetét belső fiókhoz H185 513x140x8mm KB600 (DTDL16)</t>
  </si>
  <si>
    <t>Strongmax 16/18 Glass Front, Inner Pull-Out H185/Kb600, Bok Dtdl16, 513X140X8Mm</t>
  </si>
  <si>
    <t>402269</t>
  </si>
  <si>
    <t>StrongMax 16/18 čelní sklo, vnitřní zásuvka H185/KB800, bok DTDL16, 713x140x8mm</t>
  </si>
  <si>
    <t>StrongMax 16/18 čelné sklo, vnútorná zásuvka H185/KB800, bok DTDL16, 713x44x8mm</t>
  </si>
  <si>
    <t>StrongMax 16 szklany front, szuflada wew., H185/KB800, Korpus 16mm, 713x140x8mm</t>
  </si>
  <si>
    <t>StrongMax 16/18 üvegbetét belső fiókhoz H185 713x140x8mm KB800 (DTDL16)</t>
  </si>
  <si>
    <t>Strongmax 16/18 Glass Front, Inner Pull-Out H185/Kb800, Bok Dtdl16, 713X140X8Mm</t>
  </si>
  <si>
    <t>403175</t>
  </si>
  <si>
    <t>StrongMax 16/18 čelní sklo, vnitřní zásuvka H185/KB900, bok DTDL16, 813x140x8mm</t>
  </si>
  <si>
    <t>StrongMax 16/18 čelné sklo, vnútorná zásuvka H185/KB900, bok DTDL16, 813x44x8mm</t>
  </si>
  <si>
    <t>StrongMax 16 szklany front, szuflada wew, H185/KB900, Korpus 16mm, 813x140x8mm</t>
  </si>
  <si>
    <t>StrongMax 16/18 üvegbetét belső fiókhoz H185 813x140x8mm KB900 (DTDL16)</t>
  </si>
  <si>
    <t>Strongmax 16/18 Glass Front, Inner Pull-Out H185/Kb900, Bok Dtdl16, 813X140X8Mm</t>
  </si>
  <si>
    <t>401956</t>
  </si>
  <si>
    <t>StrongMax 16/18 čelní sklo, vnitřní zásuvka H89/KB500, bok DTDL16, 413x44x8mm</t>
  </si>
  <si>
    <t>StrongMax 16/18 čelné sklo, vnútorná zásuvka H89/KB500, bok DTDL16, 413x44x8mm</t>
  </si>
  <si>
    <t>StrongMax 16 szklany front, szuflada wew., H89/KB500, Korpus 16mm, 413x44x8mm</t>
  </si>
  <si>
    <t>StrongMax 16/18 üvegbetét belső fiókhoz H89 413x44x8mm KB500 (DTDL16)</t>
  </si>
  <si>
    <t>Strongmax 16/18 Glass Front, Inner Pull-Out H89/Kb500, Bok Dtdl16, 413X44X8Mm</t>
  </si>
  <si>
    <t>401957</t>
  </si>
  <si>
    <t>StrongMax 16/18 čelní sklo, vnitřní zásuvka H89/KB600, bok DTDL16, 513x44x8mm</t>
  </si>
  <si>
    <t>StrongMax 16/18 čelné sklo, vnútorná zásuvka H89/KB600, bok DTDL16, 513x44x8mm</t>
  </si>
  <si>
    <t>StrongMax 16 szklany front, szuflada wew., H89/KB600, Korpus 16mm, 513x44x8mm</t>
  </si>
  <si>
    <t>StrongMax 16/18 üvegbetét belső fiókhoz H89 513x44x8mm KB600 (DTDL16)</t>
  </si>
  <si>
    <t>Strongmax 16/18 Glass Front, Inner Pull-Out H89/Kb600, Bok Dtdl16, 513X44X8Mm</t>
  </si>
  <si>
    <t>401958</t>
  </si>
  <si>
    <t>StrongMax 16/18 čelní sklo, vnitřní zásuvka H89/KB800, bok DTDL16, 713x44x8mm</t>
  </si>
  <si>
    <t>StrongMax 16/18 čelné sklo, vnútorná zásuvka H89/KB800, bok DTDL16, 713x44x8mm</t>
  </si>
  <si>
    <t>StrongMax 16 szklany front, szuflada wew., H89/KB800, Korpus 16mm, 713x44x8mm</t>
  </si>
  <si>
    <t>StrongMax 16/18 üvegbetét belső fiókhoz H89 713x44x8mm KB800 (DTDL16)</t>
  </si>
  <si>
    <t>Strongmax 16/18 Glass Front, Inner Pull-Out H89/Kb800, Bok Dtdl16, 713X44X8Mm</t>
  </si>
  <si>
    <t>403173</t>
  </si>
  <si>
    <t>StrongMax 16/18 čelní sklo, vnitřní zásuvka H89/KB900, bok DTDL16, 813x44x8mm</t>
  </si>
  <si>
    <t>StrongMax 16/18 čelné sklo, vnútorná zásuvka H89/KB900, bok DTDL16, 813x44x8mm</t>
  </si>
  <si>
    <t>StrongMax 16 szklany front, szuflada wew H89/KB900, Korpus 16mm, 813x44x8mm</t>
  </si>
  <si>
    <t>StrongMax 16/18 üvegbetét belső fiókhoz H89mm 813x44x8 KB900 (DTDL16)</t>
  </si>
  <si>
    <t>Strongmax 16/18 Glass Front, Inner Pull-Out H89/Kb900, Bok Dtdl16, 813X44X8Mm</t>
  </si>
  <si>
    <t>529801</t>
  </si>
  <si>
    <t>StrongMax čelní sklo vnitřní zásuvky H89 409x44x8mm KB500 (DTDL18)</t>
  </si>
  <si>
    <t>StrongMax čelné sklo vnútronej zásuvky H89 409x44x8mm KB500 (DTDL18)</t>
  </si>
  <si>
    <t>StrongMax 18 szklany front szuflady wew. H89 409x44x8mm KB500 (Korpus 18mm)</t>
  </si>
  <si>
    <t>StrongMax belső fiók elülső üveg H89 409x44x8mm KB500 (DTDL18)</t>
  </si>
  <si>
    <t>StrongMax glass front panel for inner drawer H89 409x44x8mm KB500 (lam.PB18)</t>
  </si>
  <si>
    <t>529802</t>
  </si>
  <si>
    <t>StrongMax čelní sklo vnitřní zásuvky H89 509x44x8mm KB600 (DTDL18)</t>
  </si>
  <si>
    <t>StrongMax čelné sklo vnútornej zásuvky H89 509x44x8mm KB600 (DTDL18)</t>
  </si>
  <si>
    <t>StrongMax 18 szklany front szuflady wew. H89 509x44x8mm KB600 (Korpus 18mm)</t>
  </si>
  <si>
    <t>StrongMax belső fiók elülső üveg H89 509x44x8mm KB600 (DTDL18)</t>
  </si>
  <si>
    <t>StrongMax glass front panel for inner drawer H89 509x44x8mm KB600 (lam.PB18)</t>
  </si>
  <si>
    <t>529803</t>
  </si>
  <si>
    <t>StrongMax čelní sklo vnitřní zásuvky H89 709x44x8mm KB800 (DTDL18)</t>
  </si>
  <si>
    <t>StrongMax čelné sklo vnútronej zásuvky H89 709x44x8mm KB800 (DTDL18)</t>
  </si>
  <si>
    <t>StrongMax 18 szklany front szuflady wew.H89 709x44x8mm KB800 (Korpus 18mm)</t>
  </si>
  <si>
    <t>StrongMax belső fiók elülső üveg H89 709x44x8mm KB800 (DTDL18)</t>
  </si>
  <si>
    <t>StrongMax glass front panel for inner drawer H89 709x44x8mm KB800 (lam.PB18)</t>
  </si>
  <si>
    <t>529804</t>
  </si>
  <si>
    <t>StrongMax čelní sklo vnitřní zásuvky H121 409x76x8mm KB500 (DTDL18)</t>
  </si>
  <si>
    <t>StrongMax čelné sklo vnútronej zásuvky H121 409x76x8mm KB500 (DTDL18)</t>
  </si>
  <si>
    <t>StrongMax 18 szklany front szuflady wew. H121 409x76x8mm KB500 (Korpus 18mm)</t>
  </si>
  <si>
    <t>StrongMax belső fiók elülső üveg  H121 409x76x8mm KB500 (DTDL18)</t>
  </si>
  <si>
    <t>StrongMax glass front panel for inner drawer H121 409x76x8mm KB500 (lam.PB18)</t>
  </si>
  <si>
    <t>529805</t>
  </si>
  <si>
    <t>StrongMax čelní sklo vnitřní zásuvky H121 509x76x8mm KB600 (DTDL18)</t>
  </si>
  <si>
    <t>StrongMax čelné sklo vnútornej zásuvky H121 509x76x8mm KB600 (DTDL18)</t>
  </si>
  <si>
    <t>StrongMax 18 szklany front szuflady wew. H121 509x76x8mm KB600 (Korpus 18mm)</t>
  </si>
  <si>
    <t>StrongMax belső fiók elülső üveg H121 509x76x8mm KB600 (DTDL18)</t>
  </si>
  <si>
    <t>StrongMax glass front panel for inner drawer H121 509x76x8mm KB600 (lam.PB18)</t>
  </si>
  <si>
    <t>529806</t>
  </si>
  <si>
    <t>StrongMax čelní sklo vnitřní zásuvky H121 709x76x8mm KB800 (DTDL18)</t>
  </si>
  <si>
    <t>StrongMax čelné sklo vnútronej zásuvky H121 709x76x8mm KB800 (DTDL18)</t>
  </si>
  <si>
    <t>StrongMax 18 szklany front szuflady wew. H121 709x76x8mm KB800 (Korpus 18mm)</t>
  </si>
  <si>
    <t>StrongMax belső fiók elülső üveg H121 709x76x8mm KB800 (DTDL18)</t>
  </si>
  <si>
    <t>StrongMax glass front panel for inner drawer H121 709x76x8mm KB800 (lam.PB18)</t>
  </si>
  <si>
    <t>529807</t>
  </si>
  <si>
    <t>StrongMax čelní sklo vnitřní zásuvky H185 409x140x8mm KB500 (DTDL18)</t>
  </si>
  <si>
    <t>StrongMax čelné sklo vnútronej zásuvky H185 409x140x8mm KB500 (DTDL18)</t>
  </si>
  <si>
    <t>StrongMax 18 szklany front szuflady wew. H185 409x140x8mm KB500 (Korpus 18mm)</t>
  </si>
  <si>
    <t>StrongMax belső fiók elülső üveg H185 409x140x8mm KB500 (DTDL18)</t>
  </si>
  <si>
    <t>StrongMax glass front panel for inner drawer H185 409x140x8mm KB500 (lam.PB18)</t>
  </si>
  <si>
    <t>529808</t>
  </si>
  <si>
    <t>StrongMax čelní sklo vnitřní zásuvky H185 509x140x8mm KB600 (DTDL18)</t>
  </si>
  <si>
    <t>StrongMax čelné sklo vnútronej zásuvky H185 509x140x8mm KB600 (DTDL18)</t>
  </si>
  <si>
    <t>StrongMax 18 szklany front szuflady wew. H185 509x140x8mm KB600 (Korpus 18mm)</t>
  </si>
  <si>
    <t>StrongMax belső fiók elülső üveg  H185 509x140x8mm KB600 (DTDL18)</t>
  </si>
  <si>
    <t>StrongMax glass front panel for inner drawer H185 509x140x8mm KB600 (lam.PB18)</t>
  </si>
  <si>
    <t>529809</t>
  </si>
  <si>
    <t>StrongMax čelní sklo vnitřní zásuvky H185 709x140x8mm KB800 (DTDL18)</t>
  </si>
  <si>
    <t>StrongMax čelné sklo vnútronej zásuvky H185 709x140x8mm KB800 (DTDL18)</t>
  </si>
  <si>
    <t>StrongMax 18 szklany front szuflady wew. H185 709x140x8mm KB800 (Korpus 18mm)</t>
  </si>
  <si>
    <t>StrongMax belső fiók elülső üveg H185 709x140x8mm KB800 (DTDL18)</t>
  </si>
  <si>
    <t>StrongMax glass front panel for inner drawer H185 709x140x8mm KB800 (lam.PB18)</t>
  </si>
  <si>
    <t>336114</t>
  </si>
  <si>
    <t>StrongMax 16/18 čelní reling úchytový 1100mm, vnitřní zásuvka, šedá</t>
  </si>
  <si>
    <t>StrongMax 16/18 čelný reling úchytový 1100mm, vnútorná zásuvka, šedá</t>
  </si>
  <si>
    <t>StrongMax 16/18 przedni reling uchwytowy 1100mm, szuflada wewnętrzna, szary</t>
  </si>
  <si>
    <t>StrongMax 16/18 kereszt reling 1100 mm, sötétszürkr</t>
  </si>
  <si>
    <t>Strongmax 16/18 Front Handle Railing 1100Mm, Inner Pull-Out, Grey</t>
  </si>
  <si>
    <t>336115</t>
  </si>
  <si>
    <t>StrongMax 16/18 čelní reling úchytový 800mm, vnitřní zásuvka, šedá</t>
  </si>
  <si>
    <t>StrongMax 16/18 čelný reling úchytový 800mm, vnútorná zásuvka, šedá</t>
  </si>
  <si>
    <t>StrongMax 16/18 przedni reling uchwytowy 800mm, szuflada wewnętrzna, szary</t>
  </si>
  <si>
    <t>StrongMax 16/18 kereszt reling 800 mm, sötétszürke</t>
  </si>
  <si>
    <t>Strongmax 16/18 Front Handle Railing 800Mm, Inner Pull-Out, Grey</t>
  </si>
  <si>
    <t>336116</t>
  </si>
  <si>
    <t>StrongMax 16/18 čelní reling úchytový 1100mm, vnitřní zásuvka, bílá</t>
  </si>
  <si>
    <t>StrongMax 16/18 čelný reling úchytový 1100mm, vnútorná zásuvka, biela</t>
  </si>
  <si>
    <t>StrongMax 16/18  przedni reling uchwytowy 1100mm, szuflada wewnętrzna, biały</t>
  </si>
  <si>
    <t>StrongMax 16/18 kereszt reling 1100 mm, fehér</t>
  </si>
  <si>
    <t>Strongmax 16/18 Front Handle Railing 1100Mm, Inner Pull-Out, White</t>
  </si>
  <si>
    <t>336117</t>
  </si>
  <si>
    <t>StrongMax 16/18 čelní reling úchytový 800mm, vnitřní zásuvka, bílá</t>
  </si>
  <si>
    <t>StrongMax 16/18 čelný reling úchytový 800mm, vnútorná zásuvka, biela</t>
  </si>
  <si>
    <t>StrongMax 16/18 przedni reling uchwytowy 800mm, szuflada wewnętrzna, biały</t>
  </si>
  <si>
    <t>StrongMax 16/18 kereszt reling 800 mm, fehér</t>
  </si>
  <si>
    <t>Strongmax 16/18 Front Handle Railing 800Mm, Inner Pull-Out, White</t>
  </si>
  <si>
    <t>400410</t>
  </si>
  <si>
    <t>StrongMax 16/18 čelní reling úchytový 1100mm, vnitřní zásuvka, černá</t>
  </si>
  <si>
    <t>StrongMax 16/18 čelný reling úchytový 1100mm, vnútorná zásuvka, čierna</t>
  </si>
  <si>
    <t>StrongMax 16/18 przedni reling uchwytowy 1100mm, szuflada wewnętrzna, czarny</t>
  </si>
  <si>
    <t>StrongMax 16/18 kereszt reling 1100 mm, fekete</t>
  </si>
  <si>
    <t>Strongmax 16/18 Front Handle Railing 1100Mm, Inner Pull-Out, Black</t>
  </si>
  <si>
    <t>401944</t>
  </si>
  <si>
    <t>StrongMax 16/18 držáky skleněného čela, vnitřní zásuvka H89, bílá</t>
  </si>
  <si>
    <t>StrongMax 16/18  držiaky skleneného čela, vnútornej zásuvky H89, biela</t>
  </si>
  <si>
    <t>StrongMax 16/18 mocowania przeszklonego frontu, szuflada wewnętrzna H89, białe</t>
  </si>
  <si>
    <t>StrongMax 16/18 üvegfront tartó belső fiókhoz 89 mm-es, fehér színben</t>
  </si>
  <si>
    <t>Strongmax 16/18 Glass Front Fixing Brackets, Inner Pull-Out H89, White</t>
  </si>
  <si>
    <t>401945</t>
  </si>
  <si>
    <t>StrongMax 16/18 držáky skleněného čela, vnitřní zásuvka H121, bílá</t>
  </si>
  <si>
    <t>StrongMax 16/18  držiaky skleneného čela, vnútornej zásuvky H121, biela</t>
  </si>
  <si>
    <t>StrongMax 16/18 mocowania przeszklonego frontu, szuflada wewnętrzna H121, białe</t>
  </si>
  <si>
    <t>StrongMax 16/18 üvegfront tartó belső fiókhoz 121 mm-es, fehér színben</t>
  </si>
  <si>
    <t>Strongmax 16/18 Glass Front Fixing Brackets, Inner Pull-Out H121, White</t>
  </si>
  <si>
    <t>401946</t>
  </si>
  <si>
    <t>StrongMax 16/18 držáky skleněného čela, vnitřní zásuvka H185, bílá</t>
  </si>
  <si>
    <t>StrongMax 16/18  držiaky skleneného čela, vnútornej zásuvky H185, biela</t>
  </si>
  <si>
    <t>StrongMax 16/18 mocowania przeszklonego frontu, szuflada wewnętrzna H185, białe</t>
  </si>
  <si>
    <t>StrongMax 16/18 üvegfront tartó belső fiókhoz 185 mm-es, fehér színben</t>
  </si>
  <si>
    <t>Strongmax 16/18 Glass Front Fixing Brackets, Inner Pull-Out H185, White</t>
  </si>
  <si>
    <t>401948</t>
  </si>
  <si>
    <t>StrongMax 16/18 držáky skleněného čela, vnitřní zásuvka H89, šedá</t>
  </si>
  <si>
    <t>StrongMax 16/18  držiaky skleneného čela, vnútornej zásuvky H89, šedá</t>
  </si>
  <si>
    <t>StrongMax 16/18 mocowania przeszklonego frontu, szuflada wewnętrzna H89, szare</t>
  </si>
  <si>
    <t>StrongMax 16/18 üvegfront tartó belső fiókhoz 89 mm-es,sötétszürke</t>
  </si>
  <si>
    <t>Strongmax 16/18 Glass Front Fixing Brackets, Inner Pull-Out H89, Grey</t>
  </si>
  <si>
    <t>401949</t>
  </si>
  <si>
    <t>StrongMax 16/18 držáky skleněného čela, vnitřní zásuvka H121, šedá</t>
  </si>
  <si>
    <t>StrongMax 16/18  držiaky skleneného čela, vnútornej zásuvky H121, šedá</t>
  </si>
  <si>
    <t>StrongMax 16/18 mocowania przeszklonego frontu, szuflada wewnętrzna H121, szare</t>
  </si>
  <si>
    <t>StrongMax 16/18 üvegfront tartó belső fiókhoz 121 mm-es, sötétszürke</t>
  </si>
  <si>
    <t>Strongmax 16/18 Glass Front Fixing Brackets, Inner Pull-Out H121, Grey</t>
  </si>
  <si>
    <t>401950</t>
  </si>
  <si>
    <t>StrongMax 16/18 držáky skleněného čela, vnitřní zásuvka H185, šedá</t>
  </si>
  <si>
    <t>StrongMax 16/18  držiaky skleneného čela, vnútornej zásuvky H185, šedá</t>
  </si>
  <si>
    <t>StrongMax 16/18 mocowania przeszklonego frontu, szuflada wewnętrzna H185, szare</t>
  </si>
  <si>
    <t>StrongMax 16/18 üvegfront tartó belső fiókhoz 185 mm-es, sötétszürke  színben</t>
  </si>
  <si>
    <t>Strongmax 16/18 Glass Front Fixing Brackets, Inner Pull-Out H185, Grey</t>
  </si>
  <si>
    <t>401952</t>
  </si>
  <si>
    <t>StrongMax 16/18 držáky skleněného čela, vnitřní zásuvka H89, černá</t>
  </si>
  <si>
    <t>StrongMax 16/18  držiaky skleneného čela, vnútornej zásuvky H89, čierna</t>
  </si>
  <si>
    <t>StrongMax 16/18 mocowania przeszklonego frontu, szuflada wewnętrzna H89, czarne</t>
  </si>
  <si>
    <t>StrongMax 16/18 üvegfront tartó belső fiókhoz 89 mm-es,fekete</t>
  </si>
  <si>
    <t>Strongmax 16/18 Glass Front Fixing Brackets, Inner Pull-Out H89, Black</t>
  </si>
  <si>
    <t>401953</t>
  </si>
  <si>
    <t>StrongMax 16/18 držáky skleněného čela, vnitřní zásuvka H121, černá</t>
  </si>
  <si>
    <t>StrongMax 16/18  držiaky skleneného čela, vnútornej zásuvky H121, čierna</t>
  </si>
  <si>
    <t>StrongMax 16/18 mocowania przeszklonego frontu, szuflada wewnętrzna H121, czarne</t>
  </si>
  <si>
    <t>StrongMax 16/18 üvegfront tartó belső fiókhoz 121 mm-es, fekete színben</t>
  </si>
  <si>
    <t>Strongmax 16/18 Glass Front Fixing Brackets, Inner Pull-Out H121, Black</t>
  </si>
  <si>
    <t>401954</t>
  </si>
  <si>
    <t>StrongMax 16/18 držáky skleněného čela, vnitřní zásuvka H185, černá</t>
  </si>
  <si>
    <t>StrongMax 16/18  držiaky skleneného čela, vnútornej zásuvky H185, čierna</t>
  </si>
  <si>
    <t>StrongMax 16/18 mocowania przeszklonego frontu, szuflada wewnętrzna H185, czarne</t>
  </si>
  <si>
    <t>StrongMax 16/18 üvegfront tartó belső fiókhoz 185 mm-es, fekete színben</t>
  </si>
  <si>
    <t>Strongmax 16/18 Glass Front Fixing Brackets, Inner Pull-Out H185, Black</t>
  </si>
  <si>
    <t>336104</t>
  </si>
  <si>
    <t>StrongMax 16/18 držáky čela, vnitřní zásuvka H89, bílá</t>
  </si>
  <si>
    <t>StrongMax 16/18 držiaky čela, vnútorná zásuvka H89, biela</t>
  </si>
  <si>
    <t>StrongMax 16/18 mocowanie frontu, szuflada wewnętrzna H89mm, białe</t>
  </si>
  <si>
    <t>StrongMax 16/18 frontrögzítő profil belső fiókhoz 89 mm, fehér</t>
  </si>
  <si>
    <t>Strongmax 16/18 Front Fixing Bracket, Inner Pull-Out H89, White</t>
  </si>
  <si>
    <t>336105</t>
  </si>
  <si>
    <t>StrongMax 16/18 držáky čela, vnitřní zásuvka H121, bílá</t>
  </si>
  <si>
    <t>StrongMax 16/18 držiaky čela, vnútorná zásuvka H121, biela</t>
  </si>
  <si>
    <t>StrongMax 16/18 mocowanie frontu, szuflada wewnętrzna H121mm, białe</t>
  </si>
  <si>
    <t>StrongMax 16/18 frontrögzítő profil belső fiókhoz 121 mm, fehér</t>
  </si>
  <si>
    <t>Strongmax 16/18 Front Fixing Bracket, Inner Pull-Out H121, White</t>
  </si>
  <si>
    <t>336106</t>
  </si>
  <si>
    <t>StrongMax 16/18 držáky čela, vnitřní zásuvka H185, bílá</t>
  </si>
  <si>
    <t>StrongMax 16/18 držiaky čela, vnútorná zásuvka H185, biela</t>
  </si>
  <si>
    <t>StrongMax 16/18 mocowanie frontu, szuflada wewnętrzna H185mm, białe</t>
  </si>
  <si>
    <t>StrongMax 16/18 frontrögzítő profil belső fiókhoz 185 mm, fehér</t>
  </si>
  <si>
    <t>Strongmax 16/18 Front Fixing Bracket, Inner Pull-Out H185, White</t>
  </si>
  <si>
    <t>336109</t>
  </si>
  <si>
    <t>StrongMax 16/18 držáky čela, vnitřní zásuvka H89, šedá</t>
  </si>
  <si>
    <t>StrongMax 16/18 držiaky čela, vnútorná zásuvka H89, šedá</t>
  </si>
  <si>
    <t>StrongMax 16/18 mocowanie frontu, szuflada wewnętrzna H89, szare</t>
  </si>
  <si>
    <t>StrongMax 16/18 frontrögzítő profil belső fiókhoz 89 mm, sötétszürke</t>
  </si>
  <si>
    <t>Strongmax 16/18 Front Fixing Bracket, Inner Pull-Out H89, Grey</t>
  </si>
  <si>
    <t>336110</t>
  </si>
  <si>
    <t>StrongMax 16/18 držáky čela, vnitřní zásuvka H121, šedá</t>
  </si>
  <si>
    <t>StrongMax 16/18 držiaky čela, vnútorná zásuvka H121, šedá</t>
  </si>
  <si>
    <t>StrongMax 16/18 mocowanie frontu, szuflada wewnętrzna H121mm, szare</t>
  </si>
  <si>
    <t>StrongMax 16/18 frontrögzítő profil belső fiókhoz 121 mm, sötétszürke</t>
  </si>
  <si>
    <t>Strongmax 16/18 Front Fixing Bracket, Inner Pull-Out H121, Grey</t>
  </si>
  <si>
    <t>336111</t>
  </si>
  <si>
    <t>StrongMax 16/18 držáky čela, vnitřní zásuvka H185, šedá</t>
  </si>
  <si>
    <t>StrongMax 16/18 držiaky čela, vnútorná zásuvka H185, šedá</t>
  </si>
  <si>
    <t>StrongMax 16/18 mocowanie frontu, szuflada wewnętrzna H185 mm, szare</t>
  </si>
  <si>
    <t>StrongMax 16/18 frontrögzítő profil belső fiókhoz 185 mm, sötétszürke</t>
  </si>
  <si>
    <t>Strongmax 16/18 Front Fixing Bracket, Inner Pull-Out H185, Grey</t>
  </si>
  <si>
    <t>400404</t>
  </si>
  <si>
    <t>StrongMax 16/18 držáky čela, vnitřní zásuvka H89, černá</t>
  </si>
  <si>
    <t>StrongMax 16/18 držiak čela, vnútorná zásuvka H89, čierna</t>
  </si>
  <si>
    <t>StrongMax 16/18 mocowania frontu, szuflada wewnętrzna H89 mm, czarne</t>
  </si>
  <si>
    <t>StrongMax 16/18 frontrögzítő profil belső fiókhoz 89 mm,fekete</t>
  </si>
  <si>
    <t>Strongmax 16/18 Front Fixing Bracket, Inner Pull-Out H89, Black</t>
  </si>
  <si>
    <t>400405</t>
  </si>
  <si>
    <t>StrongMax 16/18 držáky čela, vnitřní zásuvka H121, černá</t>
  </si>
  <si>
    <t>StrongMax 16/18 držiak čela, vnútorná zásuvka H121, čierna</t>
  </si>
  <si>
    <t>StrongMax 16/18 mocowanie frontu szuflady wewnętrznej H121mm, czarne</t>
  </si>
  <si>
    <t>StrongMax 16/18 frontrögzítő profil belső fiókhoz 121 mm, fekete</t>
  </si>
  <si>
    <t>Strongmax 16/18 Front Fixing Bracket, Inner Pull-Out H121, Black</t>
  </si>
  <si>
    <t>400406</t>
  </si>
  <si>
    <t>StrongMax 16/18 držáky čela, vnitřní zásuvka H185, černá</t>
  </si>
  <si>
    <t>StrongMax 16/18 držiak čela, vnútorná zásuvka H185, čierna</t>
  </si>
  <si>
    <t>StrongMax 16/18 mocowania frontu, szuflada wewnętrzna H185mm, czarne</t>
  </si>
  <si>
    <t>StrongMax 16/18 frontrögzítő profil belső fiókhoz 185 mm, fekete</t>
  </si>
  <si>
    <t>Strongmax 16/18 Front Fixing Bracket, Inner Pull-Out H185, Black</t>
  </si>
  <si>
    <t>401947</t>
  </si>
  <si>
    <t>StrongMax 16/18 čelní profil 1100mm, skleněné čelo, vnitřní zásuvka, bílá</t>
  </si>
  <si>
    <t>StrongMax 16/18 čelný profil 1100mm, sklenené čelo, vnútorná zásuvka, biela</t>
  </si>
  <si>
    <t>StrongMax 16/18 profil aluminiowy 1100mm, szklany front, szuflada wew, biały</t>
  </si>
  <si>
    <t>StrongMax 16/18 alu profil pro čelo se sklem 1100 mm, bílá</t>
  </si>
  <si>
    <t>Strongmax 16/18 Front Profile 1100Mm, Glass Front, Inner Pull-Out, White</t>
  </si>
  <si>
    <t>401951</t>
  </si>
  <si>
    <t>StrongMax 16/18 čelní profil 1100mm, skleněné čelo, vnitřní zásuvka, šedá</t>
  </si>
  <si>
    <t>StrongMax 16/18 čelný profil 1100mm, sklenené čelo, vnútorná zásuvka, šedá</t>
  </si>
  <si>
    <t>StrongMax 16/18 profil aluminiowy 1100 mm, szklany front, szuflada wew, szary</t>
  </si>
  <si>
    <t>StrongMax 16/18 alu profil pro čelo se sklem  1100 mm, tmavě šedá</t>
  </si>
  <si>
    <t>Strongmax 16/18 Front Profile 1100Mm, Glass Front, Inner Pull-Out, Grey</t>
  </si>
  <si>
    <t>401955</t>
  </si>
  <si>
    <t>StrongMax 16/18 čelní profil 1100mm, skleněné čelo, vnitřní zásuvka, černá</t>
  </si>
  <si>
    <t>StrongMax 16/18 čelný profil 1100mm, sklenené čelo, vnútorná zásuvka, čierna</t>
  </si>
  <si>
    <t>StrongMax 16/8 profil aluminiowy 1100 mm, szklany front, szuflada wew, czarny</t>
  </si>
  <si>
    <t>StrongMax 16/18 alu profil pro čelo se sklem 1100 mm, černá</t>
  </si>
  <si>
    <t>Strongmax 16/18 Front Profile 1100Mm, Glass Front, Inner Pull-Out, Black</t>
  </si>
  <si>
    <t>336107</t>
  </si>
  <si>
    <t>StrongMax 16/18 čelní profil 800mm, vnitřní zásuvka, šedá</t>
  </si>
  <si>
    <t>StrongMax 16/18 čelný profil 800mm, vnútorná zásuvka, šedá</t>
  </si>
  <si>
    <t>StrongMax 16/18 panel przedni 800mm, szuflada wewnętrzna, szary</t>
  </si>
  <si>
    <t>StrongMax 16/18 előlapprofil 800 mm, sötétszürke</t>
  </si>
  <si>
    <t>Strongmax 16/18 Front Profile 800Mm, Inner Pull-Out, Grey</t>
  </si>
  <si>
    <t>StrongMax 16/18 čelní profil 1100mm, vnitřní zásuvka, šedá</t>
  </si>
  <si>
    <t>StrongMax 16/18 čelný profil 1000mm, vnútorná zásuvka, šedá</t>
  </si>
  <si>
    <t>StrongMax 16/18 panel przedni 1100mm, szuflada wewnętrzna, szary</t>
  </si>
  <si>
    <t>StrongMax 16/18 előlapprofil 1100 mm, sötétszürke</t>
  </si>
  <si>
    <t>Strongmax 16/18 Front Profile 1100Mm, Inner Pull-Out, Grey</t>
  </si>
  <si>
    <t>336112</t>
  </si>
  <si>
    <t>StrongMax 16/18 čelní profil 800mm, vnitřní zásuvka, bílá</t>
  </si>
  <si>
    <t>StrongMax 16/18 čelný profil 800mm, vnútorná zásuvka, biela</t>
  </si>
  <si>
    <t>StrongMax 16/18 przedni panel  800mm, szuflada wewnetrzna, biały</t>
  </si>
  <si>
    <t>StrongMax 16/18 előlapprofil 800 mm, fehér</t>
  </si>
  <si>
    <t>Strongmax 16/18 Front Profile 800Mm, Inner Pull-Out, White</t>
  </si>
  <si>
    <t>336113</t>
  </si>
  <si>
    <t>StrongMax 16/18 čelní profil 1100mm, vnitřní zásuvka, bílá</t>
  </si>
  <si>
    <t>StrongMax 16/18 čelný profil 1000mm, vnútorná zásuvka, biela</t>
  </si>
  <si>
    <t>StrongMax 16/18 przedni panel 1100mm, szuflada wewnętrzna, biały</t>
  </si>
  <si>
    <t>StrongMax 16/18 előlapprofil 1100 mm, fehér</t>
  </si>
  <si>
    <t>Strongmax 16/18 Front Profile 1100Mm, Inner Pull-Out, White</t>
  </si>
  <si>
    <t>400408</t>
  </si>
  <si>
    <t>StrongMax 16/18 čelní profil 1100mm, vnitřní zásuvka, černá</t>
  </si>
  <si>
    <t>StrongMax 16/18 čelný profil 1100mm, vnútorná zásuvka, čierna</t>
  </si>
  <si>
    <t>StrongMax 16/18 panel przedni 1100mm, szuflada wewnętrzna, czarny</t>
  </si>
  <si>
    <t>StrongMax 16/18 előlapprofil 1100 mm, fekete</t>
  </si>
  <si>
    <t>Strongmax 16/18 Front profile 1100 mm, Inner Pull-Out, Black</t>
  </si>
  <si>
    <t>StrongMax 18 bočnice H89/300mm, šedá, sada</t>
  </si>
  <si>
    <t>StrongMax 18 bočnice H89/300 mm, šedá, sada</t>
  </si>
  <si>
    <t>StrongMax 18 boki H89/300 mm, szare, komplet</t>
  </si>
  <si>
    <t>StrongMax 18 oldalfalak 89/300 mm, sötétszürke J+B</t>
  </si>
  <si>
    <t>Strongmax 18 Drawer Side H89/300Mm, Grey, Set</t>
  </si>
  <si>
    <t>StrongMax 18 bočnice H89/350mm, šedá, sada</t>
  </si>
  <si>
    <t>StrongMax 18 bočnice H89/350 mm, šedá, sada</t>
  </si>
  <si>
    <t>StrongMax 18 boki H89/350 mm, szare, komplet</t>
  </si>
  <si>
    <t>StrongMax 18 oldalfalak 89/350 mm, sötétszürke J+B</t>
  </si>
  <si>
    <t>Strongmax 18 Drawer Side H89/350Mm, Grey, Set</t>
  </si>
  <si>
    <t>StrongMax 18 bočnice H89/400mm, šedá, sada</t>
  </si>
  <si>
    <t>StrongMax 18 bočnice H89/400 mm, šedá, sada</t>
  </si>
  <si>
    <t>StrongMax 18 boki H89/400 mm, szare, komplet</t>
  </si>
  <si>
    <t>StrongMax 18 oldalfalak 89/400 mm, sötétszürke J+B</t>
  </si>
  <si>
    <t>Strongmax 18 Drawer Side H89/400Mm, Grey, Set</t>
  </si>
  <si>
    <t>StrongMax 18 bočnice H89/450mm, šedá, sada</t>
  </si>
  <si>
    <t>StrongMax 18 bočnice H89/450 mm, šedá, sada</t>
  </si>
  <si>
    <t>StrongMax 18 boki H89/450 mm, szare, komplet</t>
  </si>
  <si>
    <t>StrongMax 18 oldalfalak 89/450 mm, sötétszürke J+B</t>
  </si>
  <si>
    <t>Strongmax 18 Drawer Side H89/450Mm, Grey, Set</t>
  </si>
  <si>
    <t>StrongMax 18 bočnice H89/500mm, šedá, sada</t>
  </si>
  <si>
    <t>StrongMax 18 bočnice H89/500 mm, šedá, sada</t>
  </si>
  <si>
    <t>StrongMax 18 boki H89/500 mm, szare, komplet</t>
  </si>
  <si>
    <t>StrongMax 18 oldalfalak 89/500 mm, sötétszürke J+B</t>
  </si>
  <si>
    <t>Strongmax 18 Drawer Side H89/500Mm, Grey, Set</t>
  </si>
  <si>
    <t>StrongMax 18 bočnice H89/550mm, šedá, sada</t>
  </si>
  <si>
    <t>StrongMax 18 bočnice H89/550 mm, šedá, sada</t>
  </si>
  <si>
    <t>StrongMax 18 boki H89/550 mm, szare, komplet</t>
  </si>
  <si>
    <t>StrongMax 18 oldalfalak 89/550 mm, sötétszürke J+B</t>
  </si>
  <si>
    <t>Strongmax 18 Drawer Side H89/550Mm, Grey, Set</t>
  </si>
  <si>
    <t>StrongMax 18 bočnice H89/600mm, šedá, sada</t>
  </si>
  <si>
    <t>StrongMax 18 bočnice H89/600 mm, šedá, sada</t>
  </si>
  <si>
    <t>StrongMax 18 boki H89/600 mm, szare, komplet</t>
  </si>
  <si>
    <t>StrongMax 18 oldalfalak 89/600 mm, SÖTÉTSZÜRKE J+B</t>
  </si>
  <si>
    <t>Strongmax 18 Drawer Side H89/600Mm, Grey, Set</t>
  </si>
  <si>
    <t>StrongMax 18 bočnice H89/650mm, šedá, sada</t>
  </si>
  <si>
    <t>StrongMax 18 bočnice H89/650 mm, šedá, sada</t>
  </si>
  <si>
    <t>StrongMax 18 boki H89/650 mm, szare, komplet</t>
  </si>
  <si>
    <t>StrongMax 18 oldalfalak 89/650 mm, sötétszürke J+B</t>
  </si>
  <si>
    <t>Strongmax 18 Drawer Side H89/650Mm, Grey, Set</t>
  </si>
  <si>
    <t>StrongMax 18 bočnice H121/300mm, šedá, sada</t>
  </si>
  <si>
    <t>StrongMax 18 bočnice H121/300 mm, šedá, sada</t>
  </si>
  <si>
    <t>StrongMax 18 boki H121/300 mm, szare, komplet</t>
  </si>
  <si>
    <t>StrongMax 18 oldalfalak 121/300 mm, sötétszürke J+B</t>
  </si>
  <si>
    <t>Strongmax 18 Drawer Side H121/300Mm, Grey, Set</t>
  </si>
  <si>
    <t>StrongMax 18 bočnice H121/350mm, šedá, sada</t>
  </si>
  <si>
    <t>StrongMax 18 bočnice H121/350 mm, šedá, sada</t>
  </si>
  <si>
    <t>StrongMax 18 boki H121/350 mm, szare, komplet</t>
  </si>
  <si>
    <t>StrongMax 18 oldalfalak 121/350 mm, sötétszürke J+B</t>
  </si>
  <si>
    <t>Strongmax 18 Drawer Side H121/350Mm, Grey, Set</t>
  </si>
  <si>
    <t>StrongMax 18 bočnice H121/400mm, šedá, sada</t>
  </si>
  <si>
    <t>StrongMax 18 bočnice H121/400 mm, šedá, sada</t>
  </si>
  <si>
    <t>StrongMax 18 boki H121/400 mm, szare, komplet</t>
  </si>
  <si>
    <t>StrongMax 18 oldalfalak 121/400 mm, sötétszürke J+B</t>
  </si>
  <si>
    <t>Strongmax 18 Drawer Side H121/400Mm, Grey, Set</t>
  </si>
  <si>
    <t>StrongMax 18 bočnice H121/450mm, šedá, sada</t>
  </si>
  <si>
    <t>StrongMax 18 bočnice H121/450 mm, šedá, sada</t>
  </si>
  <si>
    <t>StrongMax 18 boki H121/450 mm, szare, komplet</t>
  </si>
  <si>
    <t>StrongMax 18 oldalfalak 121/450 mm, sötétszürke J+B</t>
  </si>
  <si>
    <t>Strongmax 18 Drawer Side H121/450Mm, Grey, Set</t>
  </si>
  <si>
    <t>StrongMax 18 bočnice H121/500mm, šedá, sada</t>
  </si>
  <si>
    <t>StrongMax 18 bočnice H121/500 mm, šedá, sada</t>
  </si>
  <si>
    <t>StrongMax 18 boki H121/500 mm, szare, komplet</t>
  </si>
  <si>
    <t>StrongMax 18 oldalfalak 121/500 mm, sötétszürke J+B</t>
  </si>
  <si>
    <t>Strongmax 18 Drawer Side H121/500Mm, Grey, Set</t>
  </si>
  <si>
    <t>StrongMax 18 bočnice H121/550mm, šedá, sada</t>
  </si>
  <si>
    <t>StrongMax 18 bočnice H121/550 mm, šedá, sada</t>
  </si>
  <si>
    <t>StrongMax 18 boki H121/550 mm, szare, komplet</t>
  </si>
  <si>
    <t>StrongMax 18 oldalfalak 121/550 mm, sötétszürke J+B</t>
  </si>
  <si>
    <t>Strongmax 18 Drawer Side H121/550Mm, Grey, Set</t>
  </si>
  <si>
    <t>StrongMax 18 bočnice H121/600mm, šedá, sada</t>
  </si>
  <si>
    <t>StrongMax 18 bočnice H121/600 mm, šedá, sada</t>
  </si>
  <si>
    <t>StrongMax 18 boki H121/600mm, szare, komplet</t>
  </si>
  <si>
    <t>StrongMax 18 oldalfal 121/600 mm, sötétszürke J+B</t>
  </si>
  <si>
    <t>Strongmax 18 Drawer Side H121/600Mm, Grey, Set</t>
  </si>
  <si>
    <t>StrongMax 18 bočnice H121/650mm, šedá, sada</t>
  </si>
  <si>
    <t>StrongMax 18 bočnice H121/650 mm, šedá, sada</t>
  </si>
  <si>
    <t>StrongMax 18 boki H121/650 mm, szare, komplet</t>
  </si>
  <si>
    <t>StrongMax 18 OLDALFALAK 121/650 mm, sötétszürke J+B</t>
  </si>
  <si>
    <t>Strongmax 18 Drawer Side H121/650Mm, Grey, Set</t>
  </si>
  <si>
    <t>StrongMax 18 bočnice H185/300mm, šedá, sada</t>
  </si>
  <si>
    <t>StrongMax 18 bočnice H185/300 mm, šedá, sada</t>
  </si>
  <si>
    <t>StrongMax 18 boki H185/300 mm, szare, komplet</t>
  </si>
  <si>
    <t>StrongMax 18 oldalfalak 185/300 mm, sötétszürke J+B</t>
  </si>
  <si>
    <t>Strongmax 18 Drawer Side H185/300Mm, Grey, Set</t>
  </si>
  <si>
    <t>StrongMax 18 bočnice H185/350mm, šedá, sada</t>
  </si>
  <si>
    <t>StrongMax 18 bočnice H185/350 mm, šedá, sada</t>
  </si>
  <si>
    <t>StrongMax 18 boki H185/350 mm, szare, komplet</t>
  </si>
  <si>
    <t>StrongMax 18 oldalfalak 185/350 mm, sötétszürke J+B</t>
  </si>
  <si>
    <t>Strongmax 18 Drawer Side H185/350Mm, Grey, Set</t>
  </si>
  <si>
    <t>StrongMax 18 bočnice H185/400mm, šedá, sada</t>
  </si>
  <si>
    <t>StrongMax 18 bočnice H185/400 mm, šedá, sada</t>
  </si>
  <si>
    <t>StrongMax 18 boki H185/400 mm, szare, komplet</t>
  </si>
  <si>
    <t>StrongMax 18 oldalfalak 185/400 mm, sötétszürke J+B</t>
  </si>
  <si>
    <t>Strongmax 18 Drawer Side H185/400Mm, Grey, Set</t>
  </si>
  <si>
    <t>StrongMax 18 bočnice H185/450mm, šedá, sada</t>
  </si>
  <si>
    <t>StrongMax 18 bočnice H185/450 mm, šedá, sada</t>
  </si>
  <si>
    <t>StrongMax 18 boki H185/450 mm, szare, komplet</t>
  </si>
  <si>
    <t>StrongMax 18 oldalfalak 185/450 mm, sötétszürke J+B</t>
  </si>
  <si>
    <t>Strongmax 18 Drawer Side H185/450Mm, Grey, Set</t>
  </si>
  <si>
    <t>502870</t>
  </si>
  <si>
    <t>StrongMax 18 bočnice H185/500mm, šedá, sada</t>
  </si>
  <si>
    <t>StrongMax 18 bočnice H185/500 mm, šedá, sada</t>
  </si>
  <si>
    <t>StrongMax 18 boki H185/500 mm, szare, komplet</t>
  </si>
  <si>
    <t>StrongMax 18 oldalfalak 185/500 mm, sötétszürke J+B</t>
  </si>
  <si>
    <t>Strongmax 18 Drawer Side H185/500Mm, Grey, Set</t>
  </si>
  <si>
    <t>StrongMax 18 bočnice H185/550mm, šedá, sada</t>
  </si>
  <si>
    <t>StrongMax 18 bočnice H185/550 mm, šedá, sada</t>
  </si>
  <si>
    <t>StrongMax 18 boki H185/550 mm, szare, komplet</t>
  </si>
  <si>
    <t>StrongMax 18 oldalfalak 185/550 mm, sötétszürke J+B</t>
  </si>
  <si>
    <t>Strongmax 18 Drawer Side H185/550Mm, Grey, Set</t>
  </si>
  <si>
    <t>StrongMax 18 bočnice H185/600mm, šedá, sada</t>
  </si>
  <si>
    <t>StrongMax 18 bočnice H185/600 mm, šedá, sada</t>
  </si>
  <si>
    <t>StrongMax 18 boki H185/600 mm, szare, komplet</t>
  </si>
  <si>
    <t>StrongMax 18 oldalfalak 185/600 mm, sötétszürke J+B</t>
  </si>
  <si>
    <t>Strongmax 18 Drawer Side H185/600Mm, Grey, Set</t>
  </si>
  <si>
    <t>StrongMax 18 bočnice H185/650mm, šedá, sada</t>
  </si>
  <si>
    <t>StrongMax 18 bočnice H185/650 mm, šedá, sada</t>
  </si>
  <si>
    <t>StrongMax 18 boki H185/650 mm, szare, komplet</t>
  </si>
  <si>
    <t>StrongMax 18 oldalfalak 185/650 mm, sötétszürke J+B</t>
  </si>
  <si>
    <t>Strongmax 18 Drawer Side H185/650Mm, Grey, Set</t>
  </si>
  <si>
    <t>502933</t>
  </si>
  <si>
    <t>StrongMax 18 bočnice prosklená H185/450mm, šedá, sada</t>
  </si>
  <si>
    <t>StrongMax 18 bočnice presklenné H185/450 mm, šedá, sada</t>
  </si>
  <si>
    <t>StrongMax 18 boki Hprzeszklone 185/450 mm, szare, komplet</t>
  </si>
  <si>
    <t>StrongMax 18 oldalfalak 185/450 mm, üvegezett, sötétszürke J+B</t>
  </si>
  <si>
    <t>Strongmax 18 Glass Drawer Side H185/450Mm, Grey, Set</t>
  </si>
  <si>
    <t>StrongMax 18 bočnice prosklená H185/500mm, šedá, sada</t>
  </si>
  <si>
    <t>StrongMax 18 bočnice presklenné H185/500 mm, šedá, sada</t>
  </si>
  <si>
    <t>StrongMax 18 boki Hprzeszklone 185/500 mm, szare, komplet</t>
  </si>
  <si>
    <t>StrongMax 18 oldalfalak 185/500 mm, mázas, sötétszürke J+B</t>
  </si>
  <si>
    <t>Strongmax 18 Glass Drawer Side H185/500Mm, Grey, Set</t>
  </si>
  <si>
    <t>StrongMax 18 bočnice prosklená H185/550mm, šedá, sada</t>
  </si>
  <si>
    <t>StrongMax 18 bočnice presklenné H185/550 mm, šedá, sada</t>
  </si>
  <si>
    <t>StrongMax 18 boki Hprzeszklone 185/550 mm, szare, komplet</t>
  </si>
  <si>
    <t>StrongMax 18 oldalfalak 185/550 mm, mázas, sötétszürke J+B</t>
  </si>
  <si>
    <t>Strongmax 18 Glass Drawer Side H185/550Mm, Grey, Set</t>
  </si>
  <si>
    <t>StrongMax 18 bočnice H249/450mm, šedá, sada</t>
  </si>
  <si>
    <t>StrongMax 18 bočnice H249/450 mm, šedá, sada</t>
  </si>
  <si>
    <t>StrongMax 18 boki H249/450 mm, szare, komplet</t>
  </si>
  <si>
    <t>StrongMax 18 oldalfalak 249/450 mm, sötétszürke J+B</t>
  </si>
  <si>
    <t>Strongmax 18 Drawer Side H249/450Mm, Grey, Set</t>
  </si>
  <si>
    <t>StrongMax 18 bočnice H249/500mm, šedá, sada</t>
  </si>
  <si>
    <t>StrongMax 18 bočnice H249/500 mm, šedá, sada</t>
  </si>
  <si>
    <t>StrongMax 18 boki H249/500 mm, szare, komplet</t>
  </si>
  <si>
    <t>StrongMax 18 oldalfalak 249/500 mm, sötétszürke J+B</t>
  </si>
  <si>
    <t>Strongmax 18 Drawer Side H249/500Mm, Grey, Set</t>
  </si>
  <si>
    <t>StrongMax 18 bočnice H249/550mm, šedá, sada</t>
  </si>
  <si>
    <t>StrongMax 18 bočnice H249/550 mm, šedá, sada</t>
  </si>
  <si>
    <t>StrongMax 18 boki H249/550 mm, szare, komplet</t>
  </si>
  <si>
    <t>StrongMax 18 oldalfalak 249/550 mm, sötétszürke J+B</t>
  </si>
  <si>
    <t>Strongmax 18 Drawer Side H249/550Mm, Grey, Set</t>
  </si>
  <si>
    <t>StrongMax 18 bočnice H249/600mm, šedá, sada</t>
  </si>
  <si>
    <t>StrongMax 18 bočnice H249/600 mm, šedá, sada</t>
  </si>
  <si>
    <t>StrongMax 18 boki H249/600 mm, szare, komplet</t>
  </si>
  <si>
    <t>StrongMax 18 oldalfalak 249/600 mm, sötétszürke J+B</t>
  </si>
  <si>
    <t>Strongmax 18 Drawer Side H249/600Mm, Grey, Set</t>
  </si>
  <si>
    <t>StrongMax 18 bočnice H249/650mm, šedá, sada</t>
  </si>
  <si>
    <t>StrongMax 18 bočnice H249/650 mm, šedá, sada</t>
  </si>
  <si>
    <t>StrongMax 18 boki H249/650 mm, szare, komplet</t>
  </si>
  <si>
    <t>StrongMax 18 oldalfalak 249/650 mm, sötétszürke J+B</t>
  </si>
  <si>
    <t>Strongmax 18 Drawer Side H249/650Mm, Grey, Set</t>
  </si>
  <si>
    <t>502846</t>
  </si>
  <si>
    <t>StrongMax 18 bočnice H89/300mm, bílá, sada</t>
  </si>
  <si>
    <t>StrongMax 18 bočnice H89/300 mm, biela, sada</t>
  </si>
  <si>
    <t>StrongMax 18 boki H89/300 mm, białe, komplet</t>
  </si>
  <si>
    <t>StrongMax 18 oldalfalak 89/300 mm, fehér J+B</t>
  </si>
  <si>
    <t>Strongmax 18 Drawer Side H89/300Mm, White, Set</t>
  </si>
  <si>
    <t>502860</t>
  </si>
  <si>
    <t>StrongMax 18 bočnice H121/300mm, bílá, sada</t>
  </si>
  <si>
    <t>StrongMax 18 bočnice H121/300 mm, biela, sada</t>
  </si>
  <si>
    <t>StrongMax 18 boki H121/300 mm, białe, komplet</t>
  </si>
  <si>
    <t>StrongMax 18 oldalfalak 121/300 mm, fehér J+B</t>
  </si>
  <si>
    <t>Strongmax 18 Drawer Side H121/300Mm, White, Set</t>
  </si>
  <si>
    <t>502845</t>
  </si>
  <si>
    <t>StrongMax 18 bočnice H89/350mm, bílá, sada</t>
  </si>
  <si>
    <t>StrongMax 18 bočnice H89/350 mm, biela, sada</t>
  </si>
  <si>
    <t>StrongMax 18 boki H89/350 mm, białe, komplet</t>
  </si>
  <si>
    <t>StrongMax 18 oldalfalak 89/350 mm, fehér J+B</t>
  </si>
  <si>
    <t>Strongmax 18 Drawer Side H89/350Mm, White, Set</t>
  </si>
  <si>
    <t>502844</t>
  </si>
  <si>
    <t>StrongMax 18 bočnice H89/400mm, bílá, sada</t>
  </si>
  <si>
    <t>StrongMax 18 bočnice H89/400 mm, biela, sada</t>
  </si>
  <si>
    <t>StrongMax 18 boki H89/400 mm, białe, komplet</t>
  </si>
  <si>
    <t>StrongMax 18 oldalfalak 89/400 mm, fehér J+B</t>
  </si>
  <si>
    <t>Strongmax 18 Drawer Side H89/400Mm, White, Set</t>
  </si>
  <si>
    <t>502843</t>
  </si>
  <si>
    <t>StrongMax 18 bočnice H89/450mm, bílá, sada</t>
  </si>
  <si>
    <t>StrongMax 18 bočnice H89/450 mm, biela, sada</t>
  </si>
  <si>
    <t>StrongMax 18 boki H89/450 mm, białe, komplet</t>
  </si>
  <si>
    <t>StrongMax 18 oldalfalak 89/450 mm, fehér J+B</t>
  </si>
  <si>
    <t>Strongmax 18 Drawer Side H89/450Mm, White, Set</t>
  </si>
  <si>
    <t>502842</t>
  </si>
  <si>
    <t>StrongMax 18 bočnice H89/500mm, bílá, sada</t>
  </si>
  <si>
    <t>StrongMax 18 bočnice H89/500 mm, biela, sada</t>
  </si>
  <si>
    <t>StrongMax 18 boki H89/500 mm, białe, komplet</t>
  </si>
  <si>
    <t>StrongMax 18 oldalfalak 89/500 mm, fehér J+B</t>
  </si>
  <si>
    <t>Strongmax 18 Drawer Side H89/500Mm, White, Set</t>
  </si>
  <si>
    <t>502841</t>
  </si>
  <si>
    <t>StrongMax 18 bočnice H89/550mm, bílá, sada</t>
  </si>
  <si>
    <t>StrongMax 18 bočnice H89/550 mm, biela, sada</t>
  </si>
  <si>
    <t>StrongMax 18 boki H89/550 mm, białe, komplet</t>
  </si>
  <si>
    <t>StrongMax 18 oldalfalak 89/550 mm, fehér J+B</t>
  </si>
  <si>
    <t>Strongmax 18 Drawer Side H89/550Mm, White, Set</t>
  </si>
  <si>
    <t>503109</t>
  </si>
  <si>
    <t>StrongMax 18 bočnice H89/600mm, bílá, sada</t>
  </si>
  <si>
    <t>StrongMax 18 bočnice H89/600 mm, biela, sada</t>
  </si>
  <si>
    <t>StrongMax 18 boki H89/600 mm, białe, komplet</t>
  </si>
  <si>
    <t>StrongMax 18 oldalfalak 89/600 mm, fehér J+B</t>
  </si>
  <si>
    <t>Strongmax 18 Drawer Side H89/600Mm, White, Set</t>
  </si>
  <si>
    <t>503110</t>
  </si>
  <si>
    <t>StrongMax 18 bočnice H89/650mm, bílá, sada</t>
  </si>
  <si>
    <t>StrongMax 18 bočnice H89/650 mm, biela, sada</t>
  </si>
  <si>
    <t>StrongMax 18 boki H89/650 mm, białe, komplet</t>
  </si>
  <si>
    <t>StrongMax 18 oldalfalak 89/650 mm, fehér J+B</t>
  </si>
  <si>
    <t>Strongmax 18 Drawer Side H89/650Mm, White, Set</t>
  </si>
  <si>
    <t>502853</t>
  </si>
  <si>
    <t>StrongMax 18 bočnice H185/300mm, bílá, sada</t>
  </si>
  <si>
    <t>StrongMax 18 bočnice H185/300 mm, biela, sada</t>
  </si>
  <si>
    <t>StrongMax 18 boki H185/300 mm, białe, komplet</t>
  </si>
  <si>
    <t>StrongMax 18 oldalfalak 185/300 mm, fehér J+B</t>
  </si>
  <si>
    <t>Strongmax 18 Drawer Side H185/300Mm, White, Set</t>
  </si>
  <si>
    <t>502859</t>
  </si>
  <si>
    <t>StrongMax 18 bočnice H121/350mm, bílá, sada</t>
  </si>
  <si>
    <t>StrongMax 18 bočnice H121/350 mm, biela, sada</t>
  </si>
  <si>
    <t>StrongMax 18 boki H121/350 mm, białe, komplet</t>
  </si>
  <si>
    <t>StrongMax 18 oldalfalak 121/350 mm, fehér J+B</t>
  </si>
  <si>
    <t>Strongmax 18 Drawer Side H121/350Mm, White, Set</t>
  </si>
  <si>
    <t>502858</t>
  </si>
  <si>
    <t>StrongMax 18 bočnice H121/400mm, bílá, sada</t>
  </si>
  <si>
    <t>StrongMax 18 bočnice H121/400 mm, biela, sada</t>
  </si>
  <si>
    <t>StrongMax 18 boki H121/400 mm, białe, komplet</t>
  </si>
  <si>
    <t>StrongMax 18 oldalfalak 121/400 mm, fehér J+B</t>
  </si>
  <si>
    <t>Strongmax 18 Drawer Side H121/400Mm, White, Set</t>
  </si>
  <si>
    <t>502857</t>
  </si>
  <si>
    <t>StrongMax 18 bočnice H121/450mm, bílá, sada</t>
  </si>
  <si>
    <t>StrongMax 18 bočnice H121/450 mm, biela, sada</t>
  </si>
  <si>
    <t>StrongMax 18 boki H121/450 mm, białe, komplet</t>
  </si>
  <si>
    <t>StrongMax 18 oldalfalak 121/450 mm, fehér J+B</t>
  </si>
  <si>
    <t>Strongmax 18 Drawer Side H121/450Mm, White, Set</t>
  </si>
  <si>
    <t>502856</t>
  </si>
  <si>
    <t>StrongMax 18 bočnice H121/500mm, bílá, sada</t>
  </si>
  <si>
    <t>StrongMax 18 bočnice H121/500 mm, biela, sada</t>
  </si>
  <si>
    <t>StrongMax 18 boki H121/500 mm, białe, komplet</t>
  </si>
  <si>
    <t>StrongMax 18 oldalfalak 121/500 mm, fehér J+B</t>
  </si>
  <si>
    <t>Strongmax 18 Drawer Side H121/500Mm, White, Set</t>
  </si>
  <si>
    <t>502855</t>
  </si>
  <si>
    <t>StrongMax 18 bočnice H121/550mm, bílá, sada</t>
  </si>
  <si>
    <t>StrongMax 18 bočnice H121/550 mm, biela, sada</t>
  </si>
  <si>
    <t>StrongMax 18 boki H121/550 mm, białe, komplet</t>
  </si>
  <si>
    <t>StrongMax 18 oldalfalak 121/550 mm, fehér J+B</t>
  </si>
  <si>
    <t>Strongmax 18 Drawer Side H121/550Mm, White, Set</t>
  </si>
  <si>
    <t>503111</t>
  </si>
  <si>
    <t>StrongMax 18 bočnice H121/600mm, bílá, sada</t>
  </si>
  <si>
    <t>StrongMax 18 bočnice H121/600 mm, biela, sada</t>
  </si>
  <si>
    <t>StrongMax 18 boki H121/600 mm, białe, komplet</t>
  </si>
  <si>
    <t>StrongMax 18 oldalfal 121/600 mm, fehér J+B fehér J+B</t>
  </si>
  <si>
    <t>Strongmax 18 Drawer Side H121/600Mm, White, Set</t>
  </si>
  <si>
    <t>503112</t>
  </si>
  <si>
    <t>StrongMax 18 bočnice H121/650mm, bílá, sada</t>
  </si>
  <si>
    <t>StrongMax 18 bočnice H121/650 mm, biela, sada</t>
  </si>
  <si>
    <t>StrongMax 18 boki H121/650 mm, białe, komplet</t>
  </si>
  <si>
    <t>StrongMax 18 oldalfal 121/650 mm, fehér J+B</t>
  </si>
  <si>
    <t>Strongmax 18 Drawer Side H121/650Mm, White, Set</t>
  </si>
  <si>
    <t>502852</t>
  </si>
  <si>
    <t>StrongMax 18 bočnice H185/350mm, bílá, sada</t>
  </si>
  <si>
    <t>StrongMax 18 bočnice H185/350 mm, biela, sada</t>
  </si>
  <si>
    <t>StrongMax 18 boki H185/350 mm, białe, komplet</t>
  </si>
  <si>
    <t>StrongMax 18 oldalfalak 185/350 mm, fehér J+B</t>
  </si>
  <si>
    <t>Strongmax 18 Drawer Side H185/350Mm, White, Set</t>
  </si>
  <si>
    <t>502851</t>
  </si>
  <si>
    <t>StrongMax 18 bočnice H185/400mm, bílá, sada</t>
  </si>
  <si>
    <t>StrongMax 18 bočnice H185/400 mm, biela, sada</t>
  </si>
  <si>
    <t>StrongMax 18 boki H185/400 mm, białe, komplet</t>
  </si>
  <si>
    <t>StrongMax 18 oldalfalak 185/400 mm, fehér J+B</t>
  </si>
  <si>
    <t>Strongmax 18 Drawer Side H185/400Mm, White, Set</t>
  </si>
  <si>
    <t>502850</t>
  </si>
  <si>
    <t>StrongMax 18 bočnice H185/450mm, bílá, sada</t>
  </si>
  <si>
    <t>StrongMax 18 bočnice H185/450 mm, biela, sada</t>
  </si>
  <si>
    <t>StrongMax 18 boki H185/450 mm, białe, komplet</t>
  </si>
  <si>
    <t>StrongMax 18 oldalfalak 185/450 mm, fehér J+B</t>
  </si>
  <si>
    <t>Strongmax 18 Drawer Side H185/450Mm, White, Set</t>
  </si>
  <si>
    <t>502849</t>
  </si>
  <si>
    <t>StrongMax 18 bočnice H185/500mm, bílá, sada</t>
  </si>
  <si>
    <t>StrongMax 18 bočnice H185/500 mm, biela, sada</t>
  </si>
  <si>
    <t>StrongMax 18 boki H185/500 mm, białe, komplet</t>
  </si>
  <si>
    <t>StrongMax 18 oldalfalak 185/500 mm, fehér J+B</t>
  </si>
  <si>
    <t>Strongmax 18 Drawer Side H185/500Mm, White, Set</t>
  </si>
  <si>
    <t>502848</t>
  </si>
  <si>
    <t>StrongMax 18 bočnice H185/550mm, bílá, sada</t>
  </si>
  <si>
    <t>StrongMax 18 bočnice H185/550 mm, biela, sada</t>
  </si>
  <si>
    <t>StrongMax 18 boki H185/550 mm, białe, komplet</t>
  </si>
  <si>
    <t>StrongMax 18 oldalfalak 185/550 mm, fehér J+B</t>
  </si>
  <si>
    <t>Strongmax 18 Drawer Side H185/550Mm, White, Set</t>
  </si>
  <si>
    <t>503113</t>
  </si>
  <si>
    <t>StrongMax 18 bočnice H185/600mm, bílá, sada</t>
  </si>
  <si>
    <t>StrongMax 18 bočnice H185/600 mm, biela, sada</t>
  </si>
  <si>
    <t>StrongMax 18 boki H185/600 mm, białe, komplet</t>
  </si>
  <si>
    <t>StrongMax 18 OLDALFALAK 185/600 mm, fehér J+B</t>
  </si>
  <si>
    <t>Strongmax 18 Drawer Side H185/600Mm, White, Set</t>
  </si>
  <si>
    <t>503114</t>
  </si>
  <si>
    <t>StrongMax 18 bočnice H185/650mm, bílá, sada</t>
  </si>
  <si>
    <t>StrongMax 18 bočnice H185/650 mm, biela, sada</t>
  </si>
  <si>
    <t>StrongMax 18 boki H185/650 mm, białe, komplet</t>
  </si>
  <si>
    <t>StrongMax 18 oldalfalak  185/650 mm, fehér J+B</t>
  </si>
  <si>
    <t>Strongmax 18 Drawer Side H185/650Mm, White, Set</t>
  </si>
  <si>
    <t>502931</t>
  </si>
  <si>
    <t>StrongMax 18 bočnice prosklená H185/450mm, bílá, sada</t>
  </si>
  <si>
    <t>StrongMax 18 bočnice presklenné H185/450 mm, biela, sada</t>
  </si>
  <si>
    <t>StrongMax 18 boki Hprzeszklone 185/450 mm, białe, komplet</t>
  </si>
  <si>
    <t>StrongMax 18 oldalfal 185/450 mm, üvegezett, fehér J+B</t>
  </si>
  <si>
    <t>Strongmax 18 Glass Drawer Side H185/450Mm, White, Set</t>
  </si>
  <si>
    <t>502932</t>
  </si>
  <si>
    <t>StrongMax 18 bočnice prosklená H185/500mm, bílá, sada</t>
  </si>
  <si>
    <t>StrongMax 18 bočnice presklenné H185/500 mm, biela, sada</t>
  </si>
  <si>
    <t>StrongMax 18 boki Hszkalne 185/500 mm, białe, komplet</t>
  </si>
  <si>
    <t>StrongMax 18 oldalfalak 185/500 mm, mázas, fehér J+B</t>
  </si>
  <si>
    <t>Strongmax 18 Glass Drawer Side H185/500Mm, White, Set</t>
  </si>
  <si>
    <t>502928</t>
  </si>
  <si>
    <t>StrongMax 18 bočnice prosklená H185/550mm, bílá, sada</t>
  </si>
  <si>
    <t>StrongMax 18 bočnice presklenné H185/550 mm, biela, sada</t>
  </si>
  <si>
    <t>StrongMax 18 boki Hprzeszklone 185/550 mm, białe, komplet</t>
  </si>
  <si>
    <t>StrongMax 18 oldalfalak 185/550 mm, mázas, fehér J+B</t>
  </si>
  <si>
    <t>Strongmax 18 Glass Drawer Side H185/550Mm, White, Set</t>
  </si>
  <si>
    <t>502904</t>
  </si>
  <si>
    <t>StrongMax 18 bočnice H249/450mm, bílá, sada</t>
  </si>
  <si>
    <t>StrongMax 18 bočnice H249/450 mm, biela, sada</t>
  </si>
  <si>
    <t>StrongMax 18 boki H249/450 mm, białe, komplet</t>
  </si>
  <si>
    <t>StrongMax 18 oldalfalak 249/450 mm, fehér J+B</t>
  </si>
  <si>
    <t>Strongmax 18 Drawer Side H249/450Mm, White, Set</t>
  </si>
  <si>
    <t>502905</t>
  </si>
  <si>
    <t>StrongMax 18 bočnice H249/500mm, bílá, sada</t>
  </si>
  <si>
    <t>StrongMax 18 bočnice H249/500 mm, biela, sada</t>
  </si>
  <si>
    <t>StrongMax 18 boki H249/500 mm, białe, komplet</t>
  </si>
  <si>
    <t>StrongMax 18 oldalfalak 249/500 mm, fehér J+B</t>
  </si>
  <si>
    <t>Strongmax 18 Drawer Side H249/500Mm, White, Set</t>
  </si>
  <si>
    <t>502906</t>
  </si>
  <si>
    <t>StrongMax 18 bočnice H249/550mm, bílá, sada</t>
  </si>
  <si>
    <t>StrongMax 18 bočnice H249/550 mm, biela, sada</t>
  </si>
  <si>
    <t>StrongMax 18 boki H249/550 mm, białe, komplet</t>
  </si>
  <si>
    <t>StrongMax 18 oldalfalak 249/550 mm, fehér J+B</t>
  </si>
  <si>
    <t>Strongmax 18 Drawer Side H249/550Mm, White, Set</t>
  </si>
  <si>
    <t>502907</t>
  </si>
  <si>
    <t>StrongMax 18 bočnice H249/600mm, bílá, sada</t>
  </si>
  <si>
    <t>StrongMax 18 bočnice H249/600 mm, biela, sada</t>
  </si>
  <si>
    <t>StrongMax 18 boki H249/600 mm, białe, komplet</t>
  </si>
  <si>
    <t>StrongMax 18 oldalfalak 249/600 mm, fehér J+B</t>
  </si>
  <si>
    <t>Strongmax 18 Drawer Side H249/600Mm, White, Set</t>
  </si>
  <si>
    <t>502908</t>
  </si>
  <si>
    <t>StrongMax 18 bočnice H249/650mm, bílá, sada</t>
  </si>
  <si>
    <t>StrongMax 18 bočnice H249/650 mm, biela, sada</t>
  </si>
  <si>
    <t>StrongMax 18 boki H249/650 mm, białe, komplet</t>
  </si>
  <si>
    <t>StrongMax 18 oldalfalak 249/650 mm, fehér J+B</t>
  </si>
  <si>
    <t>Strongmax 18 Drawer Side H249/650Mm, White, Set</t>
  </si>
  <si>
    <t>502885</t>
  </si>
  <si>
    <t>StrongMax 18 bočnice H89/450mm, černá, sada</t>
  </si>
  <si>
    <t>StrongMax 18 bočnice H89/450 mm, čierna, sada</t>
  </si>
  <si>
    <t>StrongMax 18 boki H89/450 mm, czarne, komplet</t>
  </si>
  <si>
    <t>StrongMax 18 oldalfalak 89/450 mm, fekete J+B</t>
  </si>
  <si>
    <t>Strongmax 18 Drawer Side H89/450Mm, Black, Set</t>
  </si>
  <si>
    <t>StrongMax 18 bočnice H121/450mm, černá, sada</t>
  </si>
  <si>
    <t>StrongMax 18 bočnice H121/450 mm, čierna, sada</t>
  </si>
  <si>
    <t>StrongMax 18 boki H121/450 mm, czarne, komplet</t>
  </si>
  <si>
    <t>StrongMax 18 oldalfalak 121/450 mm, fekete J+B</t>
  </si>
  <si>
    <t>Strongmax 18 Drawer Side H121/450Mm, Black, Set</t>
  </si>
  <si>
    <t>StrongMax 18 bočnice H89/500mm, černá, sada</t>
  </si>
  <si>
    <t>StrongMax 18 bočnice H89/500 mm, čierna, sada</t>
  </si>
  <si>
    <t>StrongMax 18 boki H89/500 mm, czarne, komplet</t>
  </si>
  <si>
    <t>StrongMax 18 oldalfalak 89/500 mm, fekete J+B</t>
  </si>
  <si>
    <t>Strongmax 18 Drawer Side H89/500Mm, Black, Set</t>
  </si>
  <si>
    <t>StrongMax 18 bočnice H185/450mm, černá, sada</t>
  </si>
  <si>
    <t>StrongMax 18 bočnice H185/450 mm, čierna, sada</t>
  </si>
  <si>
    <t>StrongMax 18 boki H185/450 mm, czarne, komplet</t>
  </si>
  <si>
    <t>StrongMax 18 oldalfalak 185/450 mm, fekete J+B</t>
  </si>
  <si>
    <t>Strongmax 18 Drawer Side H185/450Mm, Black, Set</t>
  </si>
  <si>
    <t>StrongMax 18 bočnice H121/500mm, černá, sada</t>
  </si>
  <si>
    <t>StrongMax 18 bočnice H121/500 mm, čierna, sada</t>
  </si>
  <si>
    <t>StrongMax 18 boki H121/500 mm, czarne, komplet</t>
  </si>
  <si>
    <t>StrongMax 18 oldalfalak 121/500 mm, fekete J+B</t>
  </si>
  <si>
    <t>Strongmax 18 Drawer Side H121/500Mm, Black, Set</t>
  </si>
  <si>
    <t>StrongMax 18 bočnice prosklená H185/450mm, černá, sada</t>
  </si>
  <si>
    <t>StrongMax 18 bočnice presklenné H185/450 mm, čierna, sada</t>
  </si>
  <si>
    <t>StrongMax 18 boki Hprzeszklone 185/450 mm, czarne, komplet</t>
  </si>
  <si>
    <t>StrongMax 18 oldalfalak 185/450 mm, üvegezett, fekete J+B</t>
  </si>
  <si>
    <t>Strongmax 18 Glass Drawer Side H185/450Mm, Black, Set</t>
  </si>
  <si>
    <t>StrongMax 18 bočnice H185/500mm, černá, sada</t>
  </si>
  <si>
    <t>StrongMax 18 bočnice H185/500 mm, čierna, sada</t>
  </si>
  <si>
    <t>StrongMax 18 boki H185/500 mm, czarne, komplet</t>
  </si>
  <si>
    <t>StrongMax 18 oldalfalak 185/500 mm, fekete J+B</t>
  </si>
  <si>
    <t>Strongmax 18 Drawer Side H185/500Mm, Black, Set</t>
  </si>
  <si>
    <t>StrongMax 18 bočnice H249/450mm, černá, sada</t>
  </si>
  <si>
    <t>StrongMax 18 bočnice H249/450 mm, čierna, sada</t>
  </si>
  <si>
    <t>StrongMax 18 boki H249/450 mm, czarne, komplet</t>
  </si>
  <si>
    <t>StrongMax 18 oldalfalak 249/450 mm, fekete J+B</t>
  </si>
  <si>
    <t>Strongmax 18 Drawer Side H249/450Mm, Black, Set</t>
  </si>
  <si>
    <t>StrongMax 18 bočnice prosklená H185/500mm, černá, sada</t>
  </si>
  <si>
    <t>StrongMax 18 bočnice presklenné H185/500 mm, čierna, sada</t>
  </si>
  <si>
    <t>StrongMax 18 boki Hszkalne 185/500 mm, czarne, komplet</t>
  </si>
  <si>
    <t>StrongMax 18 oldalfalak 185/500 mm, mázas, fekete J+B</t>
  </si>
  <si>
    <t>Strongmax 18 Glass Drawer Side H185/500Mm, Black, Set</t>
  </si>
  <si>
    <t>StrongMax 18 bočnice H249/500mm, černá, sada</t>
  </si>
  <si>
    <t>StrongMax 18 bočnice H249/500 mm, čierna, sada</t>
  </si>
  <si>
    <t>StrongMax 18 boki H249/500 mm, czarne, komplet</t>
  </si>
  <si>
    <t>StrongMax 18 oldalfalak 249/500 mm, fekete J+B</t>
  </si>
  <si>
    <t>Strongmax 18 Drawer Side H249/500Mm, Black, Set</t>
  </si>
  <si>
    <t>StrongMax výsuv tlumený 300mm/40kg, sada</t>
  </si>
  <si>
    <t>StrongMax výsuv s tlmením 300mm/40kg, sada</t>
  </si>
  <si>
    <t>StrongMax prowadnica z tłumeniem, 300mm/40kg, komplet</t>
  </si>
  <si>
    <t>StrongMax fióksín 300mm 40kg csillapítással B+J</t>
  </si>
  <si>
    <t>Strongmax Drawer With Soft-Closing 300Mm/40Kg, Set</t>
  </si>
  <si>
    <t>StrongMax výsuv tlumený 350mm/40kg, sada</t>
  </si>
  <si>
    <t>StrongMax výsuv s tlmením 350mm/40kg, sada</t>
  </si>
  <si>
    <t>StrongMax prowadnica z tlumeniem, 350mm/40kg, komplet</t>
  </si>
  <si>
    <t>StrongMax fióksín 350mm 40kg csillapítással B+J</t>
  </si>
  <si>
    <t>Strongmax Drawer With Soft-Closing 350Mm/40Kg, Set</t>
  </si>
  <si>
    <t>StrongMax výsuv tlumený 400mm/40kg, sada</t>
  </si>
  <si>
    <t>StrongMax výsuv s tlmením 400mm/40kg, sada</t>
  </si>
  <si>
    <t>StrongMax prowadnica z tłumieniem 400mm/40kg, komplet</t>
  </si>
  <si>
    <t>StrongMax fióksín 400mm 40kg csillapítással B+J</t>
  </si>
  <si>
    <t>Strongmax Drawer With Soft-Closing 400Mm/40Kg, Set</t>
  </si>
  <si>
    <t>374232</t>
  </si>
  <si>
    <t>StrongMax výsuv tlumený 450mm/40kg, sada</t>
  </si>
  <si>
    <t>StrongMax výsuv s tlmením 450mm/40kg, sada</t>
  </si>
  <si>
    <t>StrongMax prowadnica z tłumieniem, 450mm/40kg, komplet</t>
  </si>
  <si>
    <t>StrongMax fióksín 450mm 40kg csillapítással B+J</t>
  </si>
  <si>
    <t>Strongmax Drawer With Soft-Closing 450Mm/40Kg, Set</t>
  </si>
  <si>
    <t>374233</t>
  </si>
  <si>
    <t>StrongMax výsuv tlumený 500mm/40kg, sada</t>
  </si>
  <si>
    <t>StrongMax výsuv s tlmením 500mm/40kg, sada</t>
  </si>
  <si>
    <t>StrongMax prowadnica  z tłumieniem 500mm/40kg, komplet</t>
  </si>
  <si>
    <t>StrongMax fióksín 500mm 40kg csillapítással B+J</t>
  </si>
  <si>
    <t>Strongmax Drawer With Soft-Closing 500Mm/40Kg, Set</t>
  </si>
  <si>
    <t>StrongMax výsuv tlumený 550mm/40kg, sada</t>
  </si>
  <si>
    <t>StrongMax výsuv s tlmením 550mm/40kg, sada</t>
  </si>
  <si>
    <t>StrongMax prowadnica z tłumieniem 550mm/40kg, komplet</t>
  </si>
  <si>
    <t>StrongMax csillapított fióksín 550 mm/40 kg, készlet</t>
  </si>
  <si>
    <t>Strongmax Drawer With Soft-Closing 550Mm/40Kg, Set</t>
  </si>
  <si>
    <t>502825</t>
  </si>
  <si>
    <t>StrongMax výsuv tlumený 600mm/40kg, sada</t>
  </si>
  <si>
    <t>StrongMax výsuv tlmený 600mm/40kg, sada</t>
  </si>
  <si>
    <t>StrongMax prowadnica z tłumieniem 600mm/ 40kg, komplet</t>
  </si>
  <si>
    <t>StrongMax  sín 600mm 40kg csillapítással L+P</t>
  </si>
  <si>
    <t>Strongmax Drawer With Soft-Closing 600Mm/40Kg, Set</t>
  </si>
  <si>
    <t>502824</t>
  </si>
  <si>
    <t>StrongMax výsuv tlumený 650mm/40kg, sada</t>
  </si>
  <si>
    <t>StrongMax výsuv tlmený 650mm/40kg, sada</t>
  </si>
  <si>
    <t>StrongMax prowadnica z tłumieniem 650mm/40kg, komplet</t>
  </si>
  <si>
    <t>StrongMax kihúzható 650mm 40kg csillapítással L+P</t>
  </si>
  <si>
    <t>Strongmax Drawer With Soft-Closing 650Mm/40Kg, Set</t>
  </si>
  <si>
    <t>typ výsuvu</t>
  </si>
  <si>
    <t>548493</t>
  </si>
  <si>
    <t>K-StrongMini zásuvka 121/270mm, tlumený částečný výsuv 25kg, bílá</t>
  </si>
  <si>
    <t>K-StrongMini zásuvka 121/270mm, tlmený čiastočný výsuv 25kg, biela</t>
  </si>
  <si>
    <t>K-StrongMini szuflada 121/270mm, tłumiony częściowy wysuw 25kg, biała</t>
  </si>
  <si>
    <t>K-StrongMini fiók 121/270mm, csillapított részleges kihúzású sín 25kg, fehér</t>
  </si>
  <si>
    <t>K-StrongMini drawer 121/270mm, soft-close partial extension 25kg, white</t>
  </si>
  <si>
    <t>O</t>
  </si>
  <si>
    <t>121</t>
  </si>
  <si>
    <t>548514</t>
  </si>
  <si>
    <t>K-StrongMini zásuvka 121/270mm, tlumený částečný výsuv 25kg, šedá</t>
  </si>
  <si>
    <t>K-StrongMini zásuvka 121/270mm, tlmený čiastočný výsuv 25kg, sivá</t>
  </si>
  <si>
    <t>K-StrongMini szuflada 121/270mm, tłumiony częściowy wysuw 25kg, szara</t>
  </si>
  <si>
    <t>K-StrongMini fiók 121/270mm, csillapított részleges kihúzású sín 25kg, szürke</t>
  </si>
  <si>
    <t>K-StrongMini drawer 121/270mm, soft-close partial extension 25kg, grey</t>
  </si>
  <si>
    <t>548535</t>
  </si>
  <si>
    <t>K-StrongMini zásuvka 121/270mm, tlumený plnovýsuv 30kg, bílá</t>
  </si>
  <si>
    <t>K-StrongMini zásuvka 121/270mm, tlmený plnovýsuv 30kg, biela</t>
  </si>
  <si>
    <t>K-StrongMini szuflada 121/270mm, tłumiony pełny wysuw 30kg, biała</t>
  </si>
  <si>
    <t>K-StrongMini fiók 121/270mm, csillapított teljes kihúzású sín 30kg, fehér</t>
  </si>
  <si>
    <t>K-StrongMini drawer 121/270mm, soft-close full extension 30kg, white</t>
  </si>
  <si>
    <t>548556</t>
  </si>
  <si>
    <t>K-StrongMini zásuvka 121/270mm, tlumený plnovýsuv 30kg, šedá</t>
  </si>
  <si>
    <t>K-StrongMini zásuvka 121/270mm, tlmený plnovýsuv 30kg, sivá</t>
  </si>
  <si>
    <t>K-StrongMini szuflada 121/270mm, tłumiony pełny wysuw 30kg, szara</t>
  </si>
  <si>
    <t>K-StrongMini fiók 121/270mm, csillapított teljes kihúzású sín 30kg, szürke</t>
  </si>
  <si>
    <t>K-StrongMini drawer 121/270mm, soft-close full extension 30kg, grey</t>
  </si>
  <si>
    <t>548494</t>
  </si>
  <si>
    <t>K-StrongMini zásuvka 121/300mm, tlumený částečný výsuv 25kg, bílá</t>
  </si>
  <si>
    <t>K-StrongMini zásuvka 121/300mm, tlmený čiastočný výsuv 25kg, biela</t>
  </si>
  <si>
    <t>K-StrongMini szuflada 121/300mm, tłumiony częściowy wysuw 25kg, biała</t>
  </si>
  <si>
    <t>K-StrongMini fiók 121/300mm, csillapított részleges kihúzású sín 25kg, fehér</t>
  </si>
  <si>
    <t>K-StrongMini drawer 121/300mm, soft-close partial extension 25kg, white</t>
  </si>
  <si>
    <t>548515</t>
  </si>
  <si>
    <t>K-StrongMini zásuvka 121/300mm, tlumený částečný výsuv 25kg, šedá</t>
  </si>
  <si>
    <t>K-StrongMini zásuvka 121/300mm, tlmený čiastočný výsuv 25kg, sivá</t>
  </si>
  <si>
    <t>K-StrongMini szuflada 121/300mm, tłumiony częściowy wysuw 25kg, szara</t>
  </si>
  <si>
    <t>K-StrongMini fiók 121/300mm, csillapított részleges kihúzású sín 25kg, szürke</t>
  </si>
  <si>
    <t>K-StrongMini drawer 121/300mm, soft-close partial extension 25kg, grey</t>
  </si>
  <si>
    <t>548536</t>
  </si>
  <si>
    <t>K-StrongMini zásuvka 121/300mm, tlumený plnovýsuv 30kg, bílá</t>
  </si>
  <si>
    <t>K-StrongMini zásuvka 121/300mm, tlmený plnovýsuv 30kg, biela</t>
  </si>
  <si>
    <t>K-StrongMini szuflada 121/300mm, tłumiony pełny wysuw 30kg, biała</t>
  </si>
  <si>
    <t>K-StrongMini fiók 121/300mm, csillapított teljes kihúzású sín 30kg, fehér</t>
  </si>
  <si>
    <t>K-StrongMini drawer 121/300mm, soft-close full extension 30kg, white</t>
  </si>
  <si>
    <t>548557</t>
  </si>
  <si>
    <t>K-StrongMini zásuvka 121/300mm, tlumený plnovýsuv 30kg, šedá</t>
  </si>
  <si>
    <t>K-StrongMini zásuvka 121/300mm, tlmený plnovýsuv 30kg, sivá</t>
  </si>
  <si>
    <t>K-StrongMini szuflada 121/300mm, tłumiony pełny wysuw 30kg, szara</t>
  </si>
  <si>
    <t>K-StrongMini fiók 121/300mm, csillapított teljes kihúzású sín 30kg, szürke</t>
  </si>
  <si>
    <t>K-StrongMini drawer 121/300mm, soft-close full extension 30kg, grey</t>
  </si>
  <si>
    <t>548495</t>
  </si>
  <si>
    <t>K-StrongMini zásuvka 121/350mm, tlumený částečný výsuv 25kg, bílá</t>
  </si>
  <si>
    <t>K-StrongMini zásuvka 121/350mm, tlmený čiastočný výsuv 25kg, biela</t>
  </si>
  <si>
    <t>K-StrongMini szuflada 121/350mm, tłumiony częściowy wysuw 25kg, biała</t>
  </si>
  <si>
    <t>K-StrongMini fiók 121/350mm, csillapított részleges kihúzású sín 25kg, fehér</t>
  </si>
  <si>
    <t>K-StrongMini drawer 121/350mm, soft-close partial extension 25kg, white</t>
  </si>
  <si>
    <t>548516</t>
  </si>
  <si>
    <t>K-StrongMini zásuvka 121/350mm, tlumený částečný výsuv 25kg, šedá</t>
  </si>
  <si>
    <t>K-StrongMini zásuvka 121/350mm, tlmený čiastočný výsuv 25kg, sivá</t>
  </si>
  <si>
    <t>K-StrongMini szuflada 121/350mm, tłumiony częściowy wysuw 25kg, szara</t>
  </si>
  <si>
    <t>K-StrongMini fiók 121/350mm, csillapított részleges kihúzású sín  25kg, szürke</t>
  </si>
  <si>
    <t>K-StrongMini drawer 121/350mm, soft-close partial extension 25kg, grey</t>
  </si>
  <si>
    <t>548537</t>
  </si>
  <si>
    <t>K-StrongMini zásuvka 121/350mm, tlumený plnovýsuv 30kg, bílá</t>
  </si>
  <si>
    <t>K-StrongMini zásuvka 121/350mm, tlmený plnovýsuv 30kg, biela</t>
  </si>
  <si>
    <t>K-StrongMini szuflada 121/350mm, tłumiony pełny wysuw 30kg, biała</t>
  </si>
  <si>
    <t>K-StrongMini fiók 121/350mm, csillapított teljes kihúzású sín 30kg, fehér</t>
  </si>
  <si>
    <t>K-StrongMini drawer 121/350mm, soft-close full extension 30kg, white</t>
  </si>
  <si>
    <t>548558</t>
  </si>
  <si>
    <t>K-StrongMini zásuvka 121/350mm, tlumený plnovýsuv 30kg, šedá</t>
  </si>
  <si>
    <t>K-StrongMini zásuvka 121/350mm, tlmený plnovýsuv 30kg, sivá</t>
  </si>
  <si>
    <t>K-StrongMini szuflada 121/350mm, tłumiony pełny wysuw 30kg, szara</t>
  </si>
  <si>
    <t>K-StrongMini fiók 121/350mm, csillapított teljes kihúzású sín 30kg, szürke</t>
  </si>
  <si>
    <t>K-StrongMini drawer 121/350mm, soft-close full extension 30kg, grey</t>
  </si>
  <si>
    <t>548496</t>
  </si>
  <si>
    <t>K-StrongMini zásuvka 121/400mm, tlumený částečný výsuv 25kg, bílá</t>
  </si>
  <si>
    <t>K-StrongMini zásuvka 121/400mm, tlmený čiastočný výsuv 25kg, biela</t>
  </si>
  <si>
    <t>K-StrongMini szuflada 121/400mm, tłumiony częściowy wysuw 25kg, biała</t>
  </si>
  <si>
    <t>K-StrongMini fiók 121/400mm, csillapított részleges kihúzású sín 25kg, fehér</t>
  </si>
  <si>
    <t>K-StrongMini drawer 121/400mm, soft-close partial extension 25kg, white</t>
  </si>
  <si>
    <t>548517</t>
  </si>
  <si>
    <t>K-StrongMini zásuvka 121/400mm, tlumený částečný výsuv 25kg, šedá</t>
  </si>
  <si>
    <t>K-StrongMini zásuvka 121/400mm, tlmený čiastočný výsuv 25kg, sivá</t>
  </si>
  <si>
    <t>K-StrongMini szuflada 121/400mm, tłumiony częściowy wysuw 25kg, szara</t>
  </si>
  <si>
    <t>K-StrongMini fiók 121/400mm, csillapított részleges kihúzású sín 25kg, szürke</t>
  </si>
  <si>
    <t>K-StrongMini drawer 121/400mm, soft-close partial extension 25kg, grey</t>
  </si>
  <si>
    <t>548538</t>
  </si>
  <si>
    <t>K-StrongMini zásuvka 121/400mm, tlumený plnovýsuv 30kg, bílá</t>
  </si>
  <si>
    <t>K-StrongMini zásuvka 121/400mm, tlmený plnovýsuv 30kg, biela</t>
  </si>
  <si>
    <t>K-StrongMini szuflada 121/400mm, tłumiony pełny wysuw 30kg, biała</t>
  </si>
  <si>
    <t>K-StrongMini fiók 121/400mm, csillapított teljes kihúzású sín 30kg, fehér</t>
  </si>
  <si>
    <t>K-StrongMini drawer 121/400mm, soft-close full extension 30kg, white</t>
  </si>
  <si>
    <t>548559</t>
  </si>
  <si>
    <t>K-StrongMini zásuvka 121/400mm, tlumený plnovýsuv 30kg, šedá</t>
  </si>
  <si>
    <t>K-StrongMini zásuvka 121/400mm, tlmený plnovýsuv 30kg, sivá</t>
  </si>
  <si>
    <t>K-StrongMini szuflada 121/400mm, tłumiony pełny wysuw 30kg, szara</t>
  </si>
  <si>
    <t>K-StrongMini fiók 121/400mm, csillapított teljes kihúzású sín 30kg, szürke</t>
  </si>
  <si>
    <t>K-StrongMini drawer 121/400mm, soft-close full extension 30kg, grey</t>
  </si>
  <si>
    <t>548497</t>
  </si>
  <si>
    <t>K-StrongMini zásuvka 121/450mm, tlumený částečný výsuv 25kg, bílá</t>
  </si>
  <si>
    <t>K-StrongMini zásuvka 121/450mm, tlmený čiastočný výsuv 25kg, biela</t>
  </si>
  <si>
    <t>K-StrongMini szuflada 121/450mm, tłumiony częściowy wysuw 25kg, biała</t>
  </si>
  <si>
    <t>K-StrongMini fiók 121/450 mm, csillapított részleges kihúzású sín 25 kg, fehér</t>
  </si>
  <si>
    <t>K-StrongMini drawer 121/450mm, soft-close partial extension 25kg, white</t>
  </si>
  <si>
    <t>548518</t>
  </si>
  <si>
    <t>K-StrongMini zásuvka 121/450mm, tlumený částečný výsuv 25kg, šedá</t>
  </si>
  <si>
    <t>K-StrongMini zásuvka 121/450mm, tlmený čiastočný výsuv 25kg, sivá</t>
  </si>
  <si>
    <t>K-StrongMini szuflada 121/450mm, tłumiony częściowy wysuw 25kg, szara</t>
  </si>
  <si>
    <t>K-StrongMini fiók 121/450mm, csillapított részleges kihúzású sín 25kg, szürke</t>
  </si>
  <si>
    <t>K-StrongMini drawer 121/450mm, soft-close partial extension 25kg, grey</t>
  </si>
  <si>
    <t>548539</t>
  </si>
  <si>
    <t>K-StrongMini zásuvka 121/450mm, tlumený plnovýsuv 30kg, bílá</t>
  </si>
  <si>
    <t>K-StrongMini zásuvka 121/450mm, tlmený plnovýsuv 30kg, biela</t>
  </si>
  <si>
    <t>K-StrongMini szuflada 121/450mm, tłumiony pełny wysuw 30kg, biała</t>
  </si>
  <si>
    <t>K-StrongMini fiók 121/450mm, csillapított teljes kihúzású sín 30kg, fehér</t>
  </si>
  <si>
    <t>K-StrongMini drawer 121/450mm, soft-close full extension 30kg, white</t>
  </si>
  <si>
    <t>548560</t>
  </si>
  <si>
    <t>K-StrongMini zásuvka 121/450mm, tlumený plnovýsuv 30kg, šedá</t>
  </si>
  <si>
    <t>K-StrongMini zásuvka 121/450mm, tlmený plnovýsuv 30kg, sivá</t>
  </si>
  <si>
    <t>K-StrongMini szuflada 121/450mm, tłumiony pełny wysuw 30kg, szara</t>
  </si>
  <si>
    <t>K-StrongMini fiók 121/450mm, csillapított teljes kihúzású sín 30kg, szürke</t>
  </si>
  <si>
    <t>K-StrongMini drawer 121/450mm, soft-close full extension 30kg, grey</t>
  </si>
  <si>
    <t>548498</t>
  </si>
  <si>
    <t>K-StrongMini zásuvka 121/500mm, tlumený částečný výsuv 25kg, bílá</t>
  </si>
  <si>
    <t>K-StrongMini zásuvka 121/500mm, tlmený čiastočný výsuv 25kg, biela</t>
  </si>
  <si>
    <t>K-StrongMini szuflada 121/500mm, tłumiony częściowy wysuw 25kg, biała</t>
  </si>
  <si>
    <t>K-StrongMini fiók 121/500mm, csillapított részleges kihúzású sín 25kg, fehér</t>
  </si>
  <si>
    <t>K-StrongMini drawer 121/500mm, soft-close partial extension 25kg, white</t>
  </si>
  <si>
    <t>548519</t>
  </si>
  <si>
    <t>K-StrongMini zásuvka 121/500mm, tlumený částečný výsuv 25kg, šedá</t>
  </si>
  <si>
    <t>K-StrongMini zásuvka 121/500mm, tlmený čiastočný výsuv 25kg, sivá</t>
  </si>
  <si>
    <t>K-StrongMini szuflada 121/500mm, tłumiony częściowy wysuw 25kg, szara</t>
  </si>
  <si>
    <t>K-StrongMini fiók 121/500mm, csillapított részleges kihúzású sín 25kg, szürke</t>
  </si>
  <si>
    <t>K-StrongMini drawer 121/500mm, soft-close partial extension 25kg, grey</t>
  </si>
  <si>
    <t>548540</t>
  </si>
  <si>
    <t>K-StrongMini zásuvka 121/500mm, tlumený plnovýsuv 30kg, bílá</t>
  </si>
  <si>
    <t>K-StrongMini zásuvka 121/500mm, tlmený plnovýsuv 30kg, biela</t>
  </si>
  <si>
    <t>K-StrongMini szuflada 121/500mm, tłumiony pełny wysuw 30kg, biała</t>
  </si>
  <si>
    <t>K-StrongMini fiók 121/500mm, csillapított teljes kihúzású sín 30kg, fehér</t>
  </si>
  <si>
    <t>K-StrongMini drawer 121/500mm, soft-close full extension 30kg, white</t>
  </si>
  <si>
    <t>548561</t>
  </si>
  <si>
    <t>K-StrongMini zásuvka 121/500mm, tlumený plnovýsuv 30kg, šedá</t>
  </si>
  <si>
    <t>K-StrongMini zásuvka 121/500mm, tlmený plnovýsuv 30kg, sivá</t>
  </si>
  <si>
    <t>K-StrongMini szuflada 121/500mm, tłumiony pełny wysuw 30kg, szara</t>
  </si>
  <si>
    <t>K-StrongMini fiók 121/500mm, csillapított teljes kihúzású sín 30kg, szürke</t>
  </si>
  <si>
    <t>K-StrongMini drawer 121/500mm, soft-close full extension 30kg, grey</t>
  </si>
  <si>
    <t>548499</t>
  </si>
  <si>
    <t>K-StrongMini zásuvka 121/550mm, tlumený částečný výsuv 25kg, bílá</t>
  </si>
  <si>
    <t>K-StrongMini zásuvka 121/550mm, tlmený čiastočný výsuv 25kg, biela</t>
  </si>
  <si>
    <t>K-StrongMini szuflada 121/550mm, tłumiony częściowy wysuw 25kg, biała</t>
  </si>
  <si>
    <t>K-StrongMini fiók 121/550mm, csillapított részleges kihúzású sín 25kg, fehér</t>
  </si>
  <si>
    <t>K-StrongMini drawer 121/550mm, soft-close partial extension 25kg, white</t>
  </si>
  <si>
    <t>548520</t>
  </si>
  <si>
    <t>K-StrongMini zásuvka 121/550mm, tlumený částečný výsuv 25kg, šedá</t>
  </si>
  <si>
    <t>K-StrongMini zásuvka 121/550mm, tlmený čiastočný výsuv 25kg, sivá</t>
  </si>
  <si>
    <t>K-StrongMini szuflada 121/550mm, tłumiony częściowy wysuw 25kg, szara</t>
  </si>
  <si>
    <t>K-StrongMini fiók 121/550mm, csillapított részleges kihúzasú sín 25kg, szürke</t>
  </si>
  <si>
    <t>K-StrongMini drawer 121/550mm, soft-close partial extension 25kg, grey</t>
  </si>
  <si>
    <t>548541</t>
  </si>
  <si>
    <t>K-StrongMini zásuvka 121/550mm, tlumený plnovýsuv 30kg, bílá</t>
  </si>
  <si>
    <t>K-StrongMini zásuvka 121/550mm, tlmený plnovýsuv 30kg, biela</t>
  </si>
  <si>
    <t>K-StrongMini szuflada 121/550mm, tłumiony pełny wysuw 30kg, biała</t>
  </si>
  <si>
    <t>K-StrongMini fiók 121/550mm, csillapított teljes kihúzású sín 30kg, fehér</t>
  </si>
  <si>
    <t>K-StrongMini drawer 121/550mm, soft-close full extension 30kg, white</t>
  </si>
  <si>
    <t>548562</t>
  </si>
  <si>
    <t>K-StrongMini zásuvka 121/550mm, tlumený plnovýsuv 30kg, šedá</t>
  </si>
  <si>
    <t>K-StrongMini zásuvka 121/550mm, tlmený plnovýsuv 30kg, sivá</t>
  </si>
  <si>
    <t>K-StrongMini szuflada 121/550mm, tłumiony pełny wysuw 30kg, szara</t>
  </si>
  <si>
    <t>K-StrongMini fiók 121/550mm, csillapított teljes kihúzású sín 30kg, szürke</t>
  </si>
  <si>
    <t>K-StrongMini drawer 121/550mm, soft-close full extension 30kg, grey</t>
  </si>
  <si>
    <t>548500</t>
  </si>
  <si>
    <t>K-StrongMini zásuvka 185/270mm, tlumený částečný výsuv 25kg, bílá</t>
  </si>
  <si>
    <t>K-StrongMini zásuvka 185/270mm, tlmený čiastočný výsuv 25kg, biela</t>
  </si>
  <si>
    <t>K-StrongMini szuflada 185/270mm, tłumiony częściowy wysuw 25kg, biała</t>
  </si>
  <si>
    <t>K-StrongMini fiók 185/270mm, csillapított részleges kihúzású sín 25kg, fehér</t>
  </si>
  <si>
    <t>K-StrongMini drawer 185/270mm, soft-close partial extension 25kg, white</t>
  </si>
  <si>
    <t>185</t>
  </si>
  <si>
    <t>548521</t>
  </si>
  <si>
    <t>K-StrongMini zásuvka 185/270mm, tlumený částečný výsuv 25kg, šedá</t>
  </si>
  <si>
    <t>K-StrongMini zásuvka 185/270mm, tlmený čiastočný výsuv 25kg, sivá</t>
  </si>
  <si>
    <t>K-StrongMini szuflada 185/270mm, tłumiony częściowy wysuw 25kg, szara</t>
  </si>
  <si>
    <t>K-StrongMini fiók 185/270mm, csillapított részleges kihúzású sín 25kg, szürke</t>
  </si>
  <si>
    <t>K-StrongMini drawer 185/270mm, soft-close partial extension 25kg, grey</t>
  </si>
  <si>
    <t>548542</t>
  </si>
  <si>
    <t>K-StrongMini zásuvka 185/270mm, tlumený plnovýsuv 30kg, bílá</t>
  </si>
  <si>
    <t>K-StrongMini zásuvka 185/270mm, tlmený plnovýsuv 30kg, biela</t>
  </si>
  <si>
    <t>K-StrongMini szuflada 185/270mm, tłumiony pełny wysuw 30kg, biała</t>
  </si>
  <si>
    <t>K-StrongMini fiók 185/270mm, csillapított teljes kihúzású sín 30kg, fehér</t>
  </si>
  <si>
    <t>K-StrongMini drawer 185/270mm, soft-close full extension 30kg, white</t>
  </si>
  <si>
    <t>548563</t>
  </si>
  <si>
    <t>K-StrongMini zásuvka 185/270mm, tlumený plnovýsuv 30kg, šedá</t>
  </si>
  <si>
    <t>K-StrongMini zásuvka 185/270mm, tlmený plnovýsuv 30kg, sivá</t>
  </si>
  <si>
    <t>K-StrongMini szuflada 185/270mm, tłumiony pełny wysuw 30kg, szara</t>
  </si>
  <si>
    <t>K-StrongMini fiók 185/270mm, csillapított teljes kihúzású sín 30kg, szürke</t>
  </si>
  <si>
    <t>K-StrongMini drawer 185/270mm, soft-close full extension 30kg, grey</t>
  </si>
  <si>
    <t>548501</t>
  </si>
  <si>
    <t>K-StrongMini zásuvka 185/300mm, tlumený částečný výsuv 25kg, bílá</t>
  </si>
  <si>
    <t>K-StrongMini zásuvka 185/300mm, tlmený čiastočný výsuv 25kg, biela</t>
  </si>
  <si>
    <t>K-StrongMini szuflada 185/300mm, tłumiony częściowy wysuw 25kg, biała</t>
  </si>
  <si>
    <t>K-StrongMini fiók 185/300mm, csillapított részleges kihúzású sín 25kg, fehér</t>
  </si>
  <si>
    <t>K-StrongMini drawer 185/300mm, soft-close partial extension 25kg, white</t>
  </si>
  <si>
    <t>548522</t>
  </si>
  <si>
    <t>K-StrongMini zásuvka 185/300mm, tlumený částečný výsuv 25kg, šedá</t>
  </si>
  <si>
    <t>K-StrongMini zásuvka 185/300mm, tlmený čiastočný výsuv 25kg, sivá</t>
  </si>
  <si>
    <t>K-StrongMini szuflada 185/300mm, tłumiony częściowy wysuw 25kg, szara</t>
  </si>
  <si>
    <t>K-StrongMini fiók 185/300mm, csillapított részleges kihúzású sín 25kg, szürke</t>
  </si>
  <si>
    <t>K-StrongMini drawer 185/300mm, soft-close partial extension 25kg, grey</t>
  </si>
  <si>
    <t>548543</t>
  </si>
  <si>
    <t>K-StrongMini zásuvka 185/300mm, tlumený plnovýsuv 30kg, bílá</t>
  </si>
  <si>
    <t>K-StrongMini zásuvka 185/300mm, tlmený plnovýsuv 30kg, biela</t>
  </si>
  <si>
    <t>K-StrongMini szuflada 185/300mm, tłumiony pełny wysuw 30kg, biała</t>
  </si>
  <si>
    <t>K-StrongMini fiók 185/300mm, csillapított teljes kihúzású sín 30kg, fehér</t>
  </si>
  <si>
    <t>K-StrongMini drawer 185/300mm, soft-close full extension 30kg, white</t>
  </si>
  <si>
    <t>548564</t>
  </si>
  <si>
    <t>K-StrongMini zásuvka 185/300mm, tlumený plnovýsuv 30kg, šedá</t>
  </si>
  <si>
    <t>K-StrongMini zásuvka 185/300mm, tlmený plnovýsuv 30kg, sivá</t>
  </si>
  <si>
    <t>K-StrongMini szuflada 185/300mm, tłumiony pełny wysuw 30kg, szara</t>
  </si>
  <si>
    <t>K-StrongMini fiók 185/300mm, csillapított teljes kihúzású sín 30kg, szürke</t>
  </si>
  <si>
    <t>K-StrongMini drawer 185/300mm, soft-close full extension 30kg, grey</t>
  </si>
  <si>
    <t>548502</t>
  </si>
  <si>
    <t>K-StrongMini zásuvka 185/350mm, tlumený částečný výsuv 25kg, bílá</t>
  </si>
  <si>
    <t>K-StrongMini zásuvka 185/350mm, tlmený čiastočný výsuv 25kg, biela</t>
  </si>
  <si>
    <t>K-StrongMini szuflada 185/350mm, tłumiony częściowy wysuw 25kg, biała</t>
  </si>
  <si>
    <t>K-StrongMini fiók 185/350mm, csillapított részleges kihúzású sín 25kg, fehér</t>
  </si>
  <si>
    <t>K-StrongMini drawer 185/350mm, soft-close partial extension 25kg, white</t>
  </si>
  <si>
    <t>548523</t>
  </si>
  <si>
    <t>K-StrongMini zásuvka 185/350mm, tlumený částečný výsuv 25kg, šedá</t>
  </si>
  <si>
    <t>K-StrongMini zásuvka 185/350mm, tlmený čiastočný výsuv 25kg, sivá</t>
  </si>
  <si>
    <t>K-StrongMini szuflada 185/350mm, tłumiony częściowy wysuw 25kg, szara</t>
  </si>
  <si>
    <t>K-StrongMini fiók 185/350mm, csillapított részleges kihúzású sín 25kg, szürke</t>
  </si>
  <si>
    <t>K-StrongMini drawer 185/350mm, soft-close partial extension 25kg, grey</t>
  </si>
  <si>
    <t>548544</t>
  </si>
  <si>
    <t>K-StrongMini zásuvka 185/350mm, tlumený plnovýsuv 30kg, bílá</t>
  </si>
  <si>
    <t>K-StrongMini zásuvka 185/350mm, tlmený plnovýsuv 30kg, biela</t>
  </si>
  <si>
    <t>K-StrongMini szuflada 185/350mm, tłumiony pełny wysuw 30kg, biała</t>
  </si>
  <si>
    <t>K-StrongMini fiók 185/350mm, csillapított teljes kihúzású sín 30kg, fehér</t>
  </si>
  <si>
    <t>K-StrongMini drawer 185/350mm, soft-close full extension 30kg, white</t>
  </si>
  <si>
    <t>548565</t>
  </si>
  <si>
    <t>K-StrongMini zásuvka 185/350mm, tlumený plnovýsuv 30kg, šedá</t>
  </si>
  <si>
    <t>K-StrongMini zásuvka 185/350mm, tlmený plnovýsuv 30kg, sivá</t>
  </si>
  <si>
    <t>K-StrongMini szuflada 185/350mm, tłumiony pełny wysuw 30kg, szara</t>
  </si>
  <si>
    <t>K-StrongMini fiók 185/350mm, csillapított teljes kihúzású sín 30kg, szürke</t>
  </si>
  <si>
    <t>K-StrongMini drawer 185/350mm, soft-close full extension 30kg, grey</t>
  </si>
  <si>
    <t>548503</t>
  </si>
  <si>
    <t>K-StrongMini zásuvka 185/400mm, tlumený částečný výsuv 25kg, bílá</t>
  </si>
  <si>
    <t>K-StrongMini zásuvka 185/400mm, tlmený čiastočný výsuv 25kg, biela</t>
  </si>
  <si>
    <t>K-StrongMini szuflada 185/400mm, tłumiony częściowy wysuw 25kg, biała</t>
  </si>
  <si>
    <t>K-StrongMini fiók 185/400mm, csillapított részleges kihúzású sín 25kg, fehér</t>
  </si>
  <si>
    <t>K-StrongMini drawer 185/400mm, soft-close partial extension 25kg, white</t>
  </si>
  <si>
    <t>548524</t>
  </si>
  <si>
    <t>K-StrongMini zásuvka 185/400mm, tlumený částečný výsuv 25kg, šedá</t>
  </si>
  <si>
    <t>K-StrongMini zásuvka 185/400mm, tlmený čiastočný výsuv 25kg, sivá</t>
  </si>
  <si>
    <t>K-StrongMini szuflada 185/400mm, tłumiony częściowy wysuw 25kg, szara</t>
  </si>
  <si>
    <t>K-StrongMini fiók 185/400mm, csillapított részleges kihúzású sín 25kg, szürke</t>
  </si>
  <si>
    <t>K-StrongMini drawer 185/400mm, soft-close partial extension 25kg, grey</t>
  </si>
  <si>
    <t>548545</t>
  </si>
  <si>
    <t>K-StrongMini zásuvka 185/400mm, tlumený plnovýsuv 30kg, bílá</t>
  </si>
  <si>
    <t>K-StrongMini zásuvka 185/400mm, tlmený plnovýsuv 30kg, biela</t>
  </si>
  <si>
    <t>K-StrongMini szuflada 185/400mm, tłumiony pełny wysuw 30kg, biała</t>
  </si>
  <si>
    <t>K-StrongMini fiók 185/400mm, csillapított teljes kihúzású sín 30kg, fehér</t>
  </si>
  <si>
    <t>K-StrongMini drawer 185/400mm, soft-close full extension 30kg, white</t>
  </si>
  <si>
    <t>548566</t>
  </si>
  <si>
    <t>K-StrongMini zásuvka 185/400mm, tlumený plnovýsuv 30kg, šedá</t>
  </si>
  <si>
    <t>K-StrongMini zásuvka 185/400mm, tlmený plnovýsuv 30kg, sivá</t>
  </si>
  <si>
    <t>K-StrongMini szuflada 185/400mm, tłumiony pełny wysuw 30kg, szara</t>
  </si>
  <si>
    <t>K-StrongMini fiók 185/400mm, csillapított teljes kihúzású sín 30kg, szürke</t>
  </si>
  <si>
    <t>K-StrongMini drawer 185/400mm, soft-close full extension 30kg, grey</t>
  </si>
  <si>
    <t>548504</t>
  </si>
  <si>
    <t>K-StrongMini zásuvka 185/450mm, tlumený částečný výsuv 25kg, bílá</t>
  </si>
  <si>
    <t>K-StrongMini zásuvka 185/450mm, tlmený čiastočný výsuv 25kg, biela</t>
  </si>
  <si>
    <t>K-StrongMini szuflada 185/450mm, tłumiony częściowy wysuw 25kg, biała</t>
  </si>
  <si>
    <t>K-StrongMini fiók 185/450mm, csillapított részleges kihúzású sín 25kg, fehér</t>
  </si>
  <si>
    <t>K-StrongMini drawer 185/450mm, soft-close partial extension 25kg, white</t>
  </si>
  <si>
    <t>548525</t>
  </si>
  <si>
    <t>K-StrongMini zásuvka 185/450mm, tlumený částečný výsuv 25kg, šedá</t>
  </si>
  <si>
    <t>K-StrongMini zásuvka 185/450mm, tlmený čiastočný výsuv 25kg, sivá</t>
  </si>
  <si>
    <t>K-StrongMini szuflada 185/450mm, tłumiony częściowy wysuw 25kg, szara</t>
  </si>
  <si>
    <t>K-StrongMini fiók 185/450mm, csillapított részleges kihúzású sín 25kg, szürke</t>
  </si>
  <si>
    <t>K-StrongMini drawer 185/450mm, soft-close partial extension 25kg, grey</t>
  </si>
  <si>
    <t>548546</t>
  </si>
  <si>
    <t>K-StrongMini zásuvka 185/450mm, tlumený plnovýsuv 30kg, bílá</t>
  </si>
  <si>
    <t>K-StrongMini zásuvka 185/450mm, tlmený plnovýsuv 30kg, biela</t>
  </si>
  <si>
    <t>K-StrongMini szuflada 185/450mm, tłumiony pełny wysuw 30kg, biała</t>
  </si>
  <si>
    <t>K-StrongMini fiók 185/450mm, csillapított teljes kihúzású sín 30kg, fehér</t>
  </si>
  <si>
    <t>K-StrongMini drawer 185/450mm, soft-close full extension 30kg, white</t>
  </si>
  <si>
    <t>548567</t>
  </si>
  <si>
    <t>K-StrongMini zásuvka 185/450mm, tlumený plnovýsuv 30kg, šedá</t>
  </si>
  <si>
    <t>K-StrongMini zásuvka 185/450mm, tlmený plnovýsuv 30kg, sivá</t>
  </si>
  <si>
    <t>K-StrongMini szuflada 185/450mm, tłumiony pełny wysuw 30kg, szara</t>
  </si>
  <si>
    <t>K-StrongMini fiók 185/450mm, csillapított teljes kihúzású sín 30kg, szürke</t>
  </si>
  <si>
    <t>K-StrongMini drawer 185/450mm, soft-close full extension 30kg, grey</t>
  </si>
  <si>
    <t>548505</t>
  </si>
  <si>
    <t>K-StrongMini zásuvka 185/500mm, tlumený částečný výsuv 25kg, bílá</t>
  </si>
  <si>
    <t>K-StrongMini zásuvka 185/500mm, tlmený čiastočný výsuv 25kg, biela</t>
  </si>
  <si>
    <t>K-StrongMini szuflada 185/500mm, tłumiony częściowy wysuw 25kg, biała</t>
  </si>
  <si>
    <t>K-StrongMini fiók 185/500mm, csillapított részleges kihúzású sín 25kg, fehér</t>
  </si>
  <si>
    <t>K-StrongMini drawer 185/500mm, soft-close partial extension 25kg, white</t>
  </si>
  <si>
    <t>548526</t>
  </si>
  <si>
    <t>K-StrongMini zásuvka 185/500mm, tlumený částečný výsuv 25kg, šedá</t>
  </si>
  <si>
    <t>K-StrongMini zásuvka 185/500mm, tlmený čiastočný výsuv 25kg, sivá</t>
  </si>
  <si>
    <t>K-StrongMini szuflada 185/500mm, tłumiony częściowy wysuw 25kg, szara</t>
  </si>
  <si>
    <t>K-StrongMini fiók 185/500mm, csillapított részleges kihúzású sín  25kg, szürke</t>
  </si>
  <si>
    <t>K-StrongMini drawer 185/500mm, soft-close partial extension 25kg, grey</t>
  </si>
  <si>
    <t>548547</t>
  </si>
  <si>
    <t>K-StrongMini zásuvka 185/500mm, tlumený plnovýsuv 30kg, bílá</t>
  </si>
  <si>
    <t>K-StrongMini zásuvka 185/500mm, tlmený plnovýsuv 30kg, biela</t>
  </si>
  <si>
    <t>K-StrongMini szuflada 185/500mm, tłumiony pełny wysuw 30kg, biała</t>
  </si>
  <si>
    <t>K-StrongMini fiók 185/500mm, csillapított teljes kihúzású sín 30kg, fehér</t>
  </si>
  <si>
    <t>K-StrongMini drawer 185/500mm, soft-close full extension 30kg, white</t>
  </si>
  <si>
    <t>548568</t>
  </si>
  <si>
    <t>K-StrongMini zásuvka 185/500mm, tlumený plnovýsuv 30kg, šedá</t>
  </si>
  <si>
    <t>K-StrongMini zásuvka 185/500mm, tlmený plnovýsuv 30kg, sivá</t>
  </si>
  <si>
    <t>K-StrongMini szuflada 185/500mm, tłumiony pełny wysuw 30kg, szara</t>
  </si>
  <si>
    <t>K-StrongMini fiók 185/500mm, csillapított teljes kihúzású sín 30kg, szürke</t>
  </si>
  <si>
    <t>K-StrongMini drawer 185/500mm, soft-close full extension 30kg, grey</t>
  </si>
  <si>
    <t>548506</t>
  </si>
  <si>
    <t>K-StrongMini zásuvka 185/550mm, tlumený částečný výsuv 25kg, bílá</t>
  </si>
  <si>
    <t>K-StrongMini zásuvka 185/550mm, tlmený čiastočný výsuv 25kg, biela</t>
  </si>
  <si>
    <t>K-StrongMini szuflada 185/550mm, tłumiony częściowy wysuw 25kg, biała</t>
  </si>
  <si>
    <t>K-StrongMini fiók 185/550mm, csillapított részleges kihúzású sín 25kg, fehér</t>
  </si>
  <si>
    <t>K-StrongMini drawer 185/550mm, soft-close partial extension 25kg, white</t>
  </si>
  <si>
    <t>548527</t>
  </si>
  <si>
    <t>K-StrongMini zásuvka 185/550mm, tlumený částečný výsuv 25kg, šedá</t>
  </si>
  <si>
    <t>K-StrongMini zásuvka 185/550mm, tlmený čiastočný výsuv 25kg, sivá</t>
  </si>
  <si>
    <t>K-StrongMini szuflada 185/550mm, tłumiony częściowy wysuw 25kg, szara</t>
  </si>
  <si>
    <t>K-StrongMini fiók 185/550mm, csillapított részleges kihúzású sín 25kg, szürke</t>
  </si>
  <si>
    <t>K-StrongMini drawer 185/550mm, soft-close partial extension 25kg, grey</t>
  </si>
  <si>
    <t>548548</t>
  </si>
  <si>
    <t>K-StrongMini zásuvka 185/550mm, tlumený plnovýsuv 30kg, bílá</t>
  </si>
  <si>
    <t>K-StrongMini zásuvka 185/550mm, tlmený plnovýsuv 30kg, biela</t>
  </si>
  <si>
    <t>K-StrongMini szuflada 185/550mm, tłumiony pełny wysuw 30kg, biała</t>
  </si>
  <si>
    <t>K-StrongMini fiók 185/550mm, csillapított teljes kihúzású sín 30kg, fehér</t>
  </si>
  <si>
    <t>K-StrongMini drawer 185/550mm, soft-close full extension 30kg, white</t>
  </si>
  <si>
    <t>548569</t>
  </si>
  <si>
    <t>K-StrongMini zásuvka 185/550mm, tlumený plnovýsuv 30kg, šedá</t>
  </si>
  <si>
    <t>K-StrongMini zásuvka 185/550mm, tlmený plnovýsuv 30kg, sivá</t>
  </si>
  <si>
    <t>K-StrongMini szuflada 185/550mm, tłumiony pełny wysuw 30kg, szara</t>
  </si>
  <si>
    <t>K-StrongMini fiók 185/550mm, csillapított teljes kihúzású sín 30kg, szürke</t>
  </si>
  <si>
    <t>K-StrongMini drawer 185/550mm, soft-close full extension 30kg, grey</t>
  </si>
  <si>
    <t>548486</t>
  </si>
  <si>
    <t>K-StrongMini zásuvka 89/270mm, tlumený částečný výsuv 25kg, bílá</t>
  </si>
  <si>
    <t>K-StrongMini zásuvka 89/270mm, tlmený čiastočný výsuv 25kg, biela</t>
  </si>
  <si>
    <t>K-StrongMini szuflada 89/270mm, tłumiony częściowy wysuw 25kg, biała</t>
  </si>
  <si>
    <t>K-StrongMini fiók 89/270mm, csillapított részleges kihúzású sín 25kg, fehér</t>
  </si>
  <si>
    <t>K-StrongMini drawer 89/270mm, soft-close partial extension 25kg, white</t>
  </si>
  <si>
    <t>548507</t>
  </si>
  <si>
    <t>K-StrongMini zásuvka 89/270mm, tlumený částečný výsuv 25kg, šedá</t>
  </si>
  <si>
    <t>K-StrongMini zásuvka 89/270mm, tlmený čiastočný výsuv 25kg, sivá</t>
  </si>
  <si>
    <t>K-StrongMini szuflada 89/270mm, tłumiony częściowy wysuw 25kg, szara</t>
  </si>
  <si>
    <t>K-StrongMini fiók 89/270mm, csillapított részleges kihúzású sín 25kg, szürke</t>
  </si>
  <si>
    <t>K-StrongMini drawer 89/270mm, soft-close partial extension 25kg, grey</t>
  </si>
  <si>
    <t>548528</t>
  </si>
  <si>
    <t>K-StrongMini zásuvka 89/270mm, tlumený plnovýsuv 30kg, bílá</t>
  </si>
  <si>
    <t>K-StrongMini zásuvka 89/270mm, tlmený plnovýsuv 30kg, biela</t>
  </si>
  <si>
    <t>K-StrongMini szuflada 89/270mm, tłumiony pełny wysuw 30kg, biała</t>
  </si>
  <si>
    <t>K-StrongMini fiók 89/270mm, csillapított teljes kihúzású sín 30kg, fehér</t>
  </si>
  <si>
    <t>K-StrongMini drawer 89/270mm, soft-close full extension 30kg, white</t>
  </si>
  <si>
    <t>548549</t>
  </si>
  <si>
    <t>K-StrongMini zásuvka 89/270mm, tlumený plnovýsuv 30kg, šedá</t>
  </si>
  <si>
    <t>K-StrongMini zásuvka 89/270mm, tlmený plnovýsuv 30kg, sivá</t>
  </si>
  <si>
    <t>K-StrongMini szuflada 89/270mm, tłumiony pełny wysuw 30kg, szara</t>
  </si>
  <si>
    <t>K-StrongMini fiók 89/270mm, csillapított teljes kihúzású sín 30kg, szürke</t>
  </si>
  <si>
    <t>K-StrongMini drawer 89/270mm, soft-close full extension 30kg, grey</t>
  </si>
  <si>
    <t>548487</t>
  </si>
  <si>
    <t>K-StrongMini zásuvka 89/300mm, tlumený částečný výsuv 25kg, bílá</t>
  </si>
  <si>
    <t>K-StrongMini zásuvka 89/300mm, tlmený čiastočný výsuv 25kg, biela</t>
  </si>
  <si>
    <t>K-StrongMini szuflada 89/300mm, tłumiony częściowy wysuw 25kg, biała</t>
  </si>
  <si>
    <t>K-StrongMini fiók 89/300mm, csillapított részleges kihúzású sín 25kg, fehér</t>
  </si>
  <si>
    <t>K-StrongMini drawer 89/300mm, soft-close partial extension 25kg, white</t>
  </si>
  <si>
    <t>548508</t>
  </si>
  <si>
    <t>K-StrongMini zásuvka 89/300mm, tlumený částečný výsuv 25kg, šedá</t>
  </si>
  <si>
    <t>K-StrongMini zásuvka 89/300mm, tlmený čiastočný výsuv 25kg, sivá</t>
  </si>
  <si>
    <t>K-StrongMini szuflada 89/300mm, tłumiony częściowy wysuw 25kg, szara</t>
  </si>
  <si>
    <t>K-StrongMini fiók 89/300mm, csillapított részleges kihúzású sín 25kg, szürke</t>
  </si>
  <si>
    <t>K-StrongMini drawer 89/300mm, soft-close partial extension 25kg, grey</t>
  </si>
  <si>
    <t>548529</t>
  </si>
  <si>
    <t>K-StrongMini zásuvka 89/300mm, tlumený plnovýsuv 30kg, bílá</t>
  </si>
  <si>
    <t>K-StrongMini zásuvka 89/300mm, tlmený plnovýsuv 30kg, biela</t>
  </si>
  <si>
    <t>K-StrongMini szuflada 89/300mm, tłumiony pełny wysuw 30kg, biała</t>
  </si>
  <si>
    <t>K-StrongMini fiók 89/300mm, csillapított teljes kihúzású sín 30kg, fehér</t>
  </si>
  <si>
    <t>K-StrongMini drawer 89/300mm, soft-close full extension 30kg, white</t>
  </si>
  <si>
    <t>548550</t>
  </si>
  <si>
    <t>K-StrongMini zásuvka 89/300mm, tlumený plnovýsuv 30kg, šedá</t>
  </si>
  <si>
    <t>K-StrongMini zásuvka 89/300mm, tlmený plnovýsuv 30kg, sivá</t>
  </si>
  <si>
    <t>K-StrongMini szuflada 89/300mm, tłumiony pełny wysuw 30kg, szara</t>
  </si>
  <si>
    <t>K-StrongMini fiók 89/300mm, csillapított teljes kihúzású sín 30kg, szürke</t>
  </si>
  <si>
    <t>K-StrongMini drawer 89/300mm, soft-close full extension 30kg, grey</t>
  </si>
  <si>
    <t>548488</t>
  </si>
  <si>
    <t>K-StrongMini zásuvka 89/350mm, tlumený částečný výsuv 25kg, bílá</t>
  </si>
  <si>
    <t>K-StrongMini zásuvka 89/350mm, tlmený čiastočný výsuv 25kg, biela</t>
  </si>
  <si>
    <t>K-StrongMini szuflada 89/350mm, tłumiony częściowy wysuw 25kg, biała</t>
  </si>
  <si>
    <t>K-StrongMini fiók 89/350mm, csillapított részleges kihúzású sín 25kg, fehér</t>
  </si>
  <si>
    <t>K-StrongMini drawer 89/350mm, soft-close partial extension 25kg, white</t>
  </si>
  <si>
    <t>548509</t>
  </si>
  <si>
    <t>K-StrongMini zásuvka 89/350mm, tlumený částečný výsuv 25kg, šedá</t>
  </si>
  <si>
    <t>K-StrongMini zásuvka 89/350mm, tlmený čiastočný výsuv 25kg, sivá</t>
  </si>
  <si>
    <t>K-StrongMini szuflada 89/350mm, tłumiony częściowy wysuw 25kg, szara</t>
  </si>
  <si>
    <t>K-StrongMini fiók 89/350mm, csillapított részleges kihúzású sín 25kg, szürke</t>
  </si>
  <si>
    <t>K-StrongMini drawer 89/350mm, soft-close partial extension 25kg, grey</t>
  </si>
  <si>
    <t>548530</t>
  </si>
  <si>
    <t>K-StrongMini zásuvka 89/350mm, tlumený plnovýsuv 30kg, bílá</t>
  </si>
  <si>
    <t>K-StrongMini zásuvka 89/350mm, tlmený plnovýsuv 30kg, biela</t>
  </si>
  <si>
    <t>K-StrongMini szuflada 89/350mm, tłumiony pełny wysuw 30kg, biała</t>
  </si>
  <si>
    <t>K-StrongMini fiók 89/350mm, csillapított teljes kihúzású sín 30kg, fehér</t>
  </si>
  <si>
    <t>K-StrongMini drawer 89/350mm, soft-close full extension 30kg, white</t>
  </si>
  <si>
    <t>548551</t>
  </si>
  <si>
    <t>K-StrongMini zásuvka 89/350mm, tlumený plnovýsuv 30kg, šedá</t>
  </si>
  <si>
    <t>K-StrongMini zásuvka 89/350mm, tlmený plnovýsuv 30kg, sivá</t>
  </si>
  <si>
    <t>K-StrongMini szuflada 89/350mm, tłumiony pełny wysuw 30kg, szara</t>
  </si>
  <si>
    <t>K-StrongMini fiók 89/350mm, csillapított teljes kihúzású sín 30kg, szürke</t>
  </si>
  <si>
    <t>K-StrongMini drawer 89/350mm, soft-close full extension 30kg, grey</t>
  </si>
  <si>
    <t>548489</t>
  </si>
  <si>
    <t>K-StrongMini zásuvka 89/400mm, tlumený částečný výsuv 25kg, bílá</t>
  </si>
  <si>
    <t>K-StrongMini zásuvka 89/400mm, tlmený čiastočný výsuv 25kg, biela</t>
  </si>
  <si>
    <t>K-StrongMini szuflada 89/400mm, tłumiony częściowy wysuw 25kg, biała</t>
  </si>
  <si>
    <t>K-StrongMini fiók 89/400mm, csillapított részleges kihúzású sín 25kg, fehér</t>
  </si>
  <si>
    <t>K-StrongMini drawer 89/400mm, soft-close partial extension 25kg, white</t>
  </si>
  <si>
    <t>548510</t>
  </si>
  <si>
    <t>K-StrongMini zásuvka 89/400mm, tlumený částečný výsuv 25kg, šedá</t>
  </si>
  <si>
    <t>K-StrongMini zásuvka 89/400mm, tlmený čiastočný výsuv 25kg, sivá</t>
  </si>
  <si>
    <t>K-StrongMini szuflada 89/400mm, tłumiony częściowy wysuw 25kg, szara</t>
  </si>
  <si>
    <t>K-StrongMini fiók 89/400mm, csillapított részleges kihúzású sín 25kg, szürke</t>
  </si>
  <si>
    <t>K-StrongMini drawer 89/400mm, soft-close partial extension 25kg, grey</t>
  </si>
  <si>
    <t>548531</t>
  </si>
  <si>
    <t>K-StrongMini zásuvka 89/400mm, tlumený plnovýsuv 30kg, bílá</t>
  </si>
  <si>
    <t>K-StrongMini zásuvka 89/400mm, tlmený plnovýsuv 30kg, biela</t>
  </si>
  <si>
    <t>K-StrongMini szuflada 89/400mm, tłumiony pełny wysuw 30kg, biała</t>
  </si>
  <si>
    <t>K-StrongMini fiók 89/400mm, csillapított teljes kihúzású sín 30kg, fehér</t>
  </si>
  <si>
    <t>K-StrongMini drawer 89/400mm, soft-close full extension 30kg, white</t>
  </si>
  <si>
    <t>548552</t>
  </si>
  <si>
    <t>K-StrongMini zásuvka 89/400mm, tlumený plnovýsuv 30kg, šedá</t>
  </si>
  <si>
    <t>K-StrongMini zásuvka 89/400mm, tlmený plnovýsuv 30kg, sivá</t>
  </si>
  <si>
    <t>K-StrongMini szuflada 89/400mm, tłumiony pełny wysuw 30kg, szara</t>
  </si>
  <si>
    <t>K-StrongMini fiók 89/400mm, csillapított teljes kihúzású sín 30kg, szürke</t>
  </si>
  <si>
    <t>K-StrongMini drawer 89/400mm, soft-close full extension 30kg, grey</t>
  </si>
  <si>
    <t>548490</t>
  </si>
  <si>
    <t>K-StrongMini zásuvka 89/450mm, tlumený částečný výsuv 25kg, bílá</t>
  </si>
  <si>
    <t>K-StrongMini zásuvka 89/450mm, tlmený čiastočný výsuv 25kg, biela</t>
  </si>
  <si>
    <t>K-StrongMini szuflada 89/450mm, tłumiony częściowy wysuw 25kg, biała</t>
  </si>
  <si>
    <t>K-StrongMini fiók 89/450mm, csillapított részleges kihúzású sín 25kg, fehér</t>
  </si>
  <si>
    <t>K-StrongMini drawer 89/450mm, soft-close partial extension 25kg, white</t>
  </si>
  <si>
    <t>548511</t>
  </si>
  <si>
    <t>K-StrongMini zásuvka 89/450mm, tlumený částečný výsuv 25kg, šedá</t>
  </si>
  <si>
    <t>K-StrongMini zásuvka 89/450mm, tlmený čiastočný výsuv 25kg, sivá</t>
  </si>
  <si>
    <t>K-StrongMini szuflada 89/450mm, tłumiony częściowy wysuw 25kg, szara</t>
  </si>
  <si>
    <t>K-StrongMini fiók 89/450mm, csillapított részleges kihúzású sín 25kg, szürke</t>
  </si>
  <si>
    <t>K-StrongMini drawer 89/450mm, soft-close partial extension 25kg, grey</t>
  </si>
  <si>
    <t>548532</t>
  </si>
  <si>
    <t>K-StrongMini zásuvka 89/450mm, tlumený plnovýsuv 30kg, bílá</t>
  </si>
  <si>
    <t>K-StrongMini zásuvka 89/450mm, tlmený plnovýsuv 30kg, biela</t>
  </si>
  <si>
    <t>K-StrongMini szuflada 89/450mm, tłumiony pełny wysuw 30kg, biała</t>
  </si>
  <si>
    <t>K-StrongMini fiók 89/450mm, csillapított teljes kihúzású sín 30kg, fehér</t>
  </si>
  <si>
    <t>K-StrongMini drawer 89/450mm, soft-close full extension 30kg, white</t>
  </si>
  <si>
    <t>548553</t>
  </si>
  <si>
    <t>K-StrongMini zásuvka 89/450mm, tlumený plnovýsuv 30kg, šedá</t>
  </si>
  <si>
    <t>K-StrongMini zásuvka 89/450mm, tlmený plnovýsuv 30kg, sivá</t>
  </si>
  <si>
    <t>K-StrongMini szuflada 89/450mm, tłumiony pełny wysuw 30kg, szara</t>
  </si>
  <si>
    <t>K-StrongMini fiók 89/450mm, csillapított teljes kihúzású sín 30kg, szürke</t>
  </si>
  <si>
    <t>K-StrongMini drawer 89/450mm, soft-close full extension 30kg, grey</t>
  </si>
  <si>
    <t>548491</t>
  </si>
  <si>
    <t>K-StrongMini zásuvka 89/500mm, tlumený částečný výsuv 25kg, bílá</t>
  </si>
  <si>
    <t>K-StrongMini zásuvka 89/500mm, tlmený čiastočný výsuv 25kg, biela</t>
  </si>
  <si>
    <t>K-StrongMini szuflada 89/500mm, tłumiony częściowy wysuw 25kg, biała</t>
  </si>
  <si>
    <t>K-StrongMini fiók 89/500mm, csillapított részleges kihúzású sín 25kg, fehér</t>
  </si>
  <si>
    <t>K-StrongMini drawer 89/500mm, soft-close partial extension 25kg, white</t>
  </si>
  <si>
    <t>548512</t>
  </si>
  <si>
    <t>K-StrongMini zásuvka 89/500mm, tlumený částečný výsuv 25kg, šedá</t>
  </si>
  <si>
    <t>K-StrongMini zásuvka 89/500mm, tlmený čiastočný výsuv 25kg, sivá</t>
  </si>
  <si>
    <t>K-StrongMini szuflada 89/500mm, tłumiony częściowy wysuw 25kg, szara</t>
  </si>
  <si>
    <t>K-StrongMini fiók 89/500mm, csillapított részleges kihúzású sín 25kg, szürke</t>
  </si>
  <si>
    <t>K-StrongMini drawer 89/500mm, soft-close partial extension 25kg, grey</t>
  </si>
  <si>
    <t>548533</t>
  </si>
  <si>
    <t>K-StrongMini zásuvka 89/500mm, tlumený plnovýsuv 30kg, bílá</t>
  </si>
  <si>
    <t>K-StrongMini zásuvka 89/500mm, tlmený plnovýsuv 30kg, biela</t>
  </si>
  <si>
    <t>K-StrongMini szuflada 89/500mm, tłumiony pełny wysuw 30kg, biała</t>
  </si>
  <si>
    <t>K-StrongMini fiók 89/500mm, csillapított teljes kihúzású sín 30kg, fehér</t>
  </si>
  <si>
    <t>K-StrongMini drawer 89/500mm, soft-close full extension 30kg, white</t>
  </si>
  <si>
    <t>548554</t>
  </si>
  <si>
    <t>K-StrongMini zásuvka 89/500mm, tlumený plnovýsuv 30kg, šedá</t>
  </si>
  <si>
    <t>K-StrongMini zásuvka 89/500mm, tlmený plnovýsuv 30kg, sivá</t>
  </si>
  <si>
    <t>K-StrongMini szuflada 89/500mm, tłumiony pełny wysuw 30kg, szara</t>
  </si>
  <si>
    <t>K-StrongMini fiók 89/500mm, csillapított teljes kihúzású sín 30kg, szürke</t>
  </si>
  <si>
    <t>K-StrongMini drawer 89/500mm, soft-close full extension 30kg, grey</t>
  </si>
  <si>
    <t>548492</t>
  </si>
  <si>
    <t>K-StrongMini zásuvka 89/550mm, tlumený částečný výsuv 25kg, bílá</t>
  </si>
  <si>
    <t>K-StrongMini zásuvka 89/550mm, tlmený čiastočný výsuv 25kg, biela</t>
  </si>
  <si>
    <t>K-StrongMini szuflada 89/550mm, tłumiony częściowy wysuw 25kg, biała</t>
  </si>
  <si>
    <t>K-StrongMini fiók 89/550mm, csillapított részleges kihúzású sín 25kg, fehér</t>
  </si>
  <si>
    <t>K-StrongMini drawer 89/550mm, soft-close partial extension 25kg, white</t>
  </si>
  <si>
    <t>548513</t>
  </si>
  <si>
    <t>K-StrongMini zásuvka 89/550mm, tlumený částečný výsuv 25kg, šedá</t>
  </si>
  <si>
    <t>K-StrongMini zásuvka 89/550mm, tlmený čiastočný výsuv 25kg, sivá</t>
  </si>
  <si>
    <t>K-StrongMini szuflada 89/550mm, tłumiony częściowy wysuw 25kg, szara</t>
  </si>
  <si>
    <t>K-StrongMini fiók 89/550mm, csillapított részleges kihúzású sín 25kg, szürke</t>
  </si>
  <si>
    <t>K-StrongMini drawer 89/550mm, soft-close partial extension 25kg, grey</t>
  </si>
  <si>
    <t>548534</t>
  </si>
  <si>
    <t>K-StrongMini zásuvka 89/550mm, tlumený plnovýsuv 30kg, bílá</t>
  </si>
  <si>
    <t>K-StrongMini zásuvka 89/550mm, tlmený plnovýsuv 30kg, biela</t>
  </si>
  <si>
    <t>K-StrongMini szuflada 89/550mm, tłumiony pełny wysuw 30kg, biała</t>
  </si>
  <si>
    <t>K-StrongMini fiók 89/550mm, csillapított teljes kihúzású sín 30kg, fehér</t>
  </si>
  <si>
    <t>K-StrongMini drawer 89/550mm, soft-close full extension 30kg, white</t>
  </si>
  <si>
    <t>548555</t>
  </si>
  <si>
    <t>K-StrongMini zásuvka 89/550mm, tlumený plnovýsuv 30kg, šedá</t>
  </si>
  <si>
    <t>K-StrongMini zásuvka 89/550mm, tlmený plnovýsuv 30kg, sivá</t>
  </si>
  <si>
    <t>K-StrongMini szuflada 89/550mm, tłumiony pełny wysuw 30kg, szara</t>
  </si>
  <si>
    <t>K-StrongMini fiók 89/550mm, csillapított teljes kihúzású sín 30kg, szürke</t>
  </si>
  <si>
    <t>K-StrongMini drawer 89/550mm, soft-close full extension 30kg, grey</t>
  </si>
  <si>
    <t>StrongMax 16/18 označovač čelního úchytu H185 univerzální</t>
  </si>
  <si>
    <t>StrongMax 16/18 označovač čelného úchytu H185 univerzálny</t>
  </si>
  <si>
    <t>StrongMax 16/18 fiókfront jelző H185 universal</t>
  </si>
  <si>
    <t>StrongMax 16/18 universal front bracket marker H185</t>
  </si>
  <si>
    <t>StrongMax 16/18 označovač čelního úchytu H89/H121 univerzální</t>
  </si>
  <si>
    <t>StrongMax 16/18 označovač čelného úchytu H89/H121 univerzálny</t>
  </si>
  <si>
    <t>StrongMax 16/18 fiókfront jelző H89/H121 universal</t>
  </si>
  <si>
    <t>StrongMax 16/18 Multipurpose front bracket marker H89/H121</t>
  </si>
  <si>
    <t>MIN</t>
  </si>
  <si>
    <t>MAX</t>
  </si>
  <si>
    <t>Uniwersalny oznacznik mocowania frontu do StrongMax 16/18 H89/H121</t>
  </si>
  <si>
    <t>Uniwersalny oznacznik mocowania frontu do StrongMax 16/18 H185</t>
  </si>
  <si>
    <t>Zacznij</t>
  </si>
  <si>
    <t>Dalej</t>
  </si>
  <si>
    <t>Czy front będzie z uchwytem profilowym?</t>
  </si>
  <si>
    <t>Wysokość uchwytu profilowego w mm (J)</t>
  </si>
  <si>
    <t>Suma wysokości wszystkich frontów</t>
  </si>
  <si>
    <t>Wysokość frontu razem z uchwytem profilowym</t>
  </si>
  <si>
    <t>Wybierz wysokość boków szuflady</t>
  </si>
  <si>
    <t>Wymiar frontu</t>
  </si>
  <si>
    <t>(do prawidłowego obliczenia należy wybrać wysokość boku w tabeli powyżej)</t>
  </si>
  <si>
    <t>Wymiar dna:</t>
  </si>
  <si>
    <t>Hátsó vágás</t>
  </si>
  <si>
    <t>Wymiar ściany tylnej</t>
  </si>
  <si>
    <t>Prírez chrbta</t>
  </si>
  <si>
    <t>Přířez zad</t>
  </si>
  <si>
    <t>Přesah pod dno korpusu (G)</t>
  </si>
  <si>
    <t>Wysunięcie poniżej dna korpusu (G)</t>
  </si>
  <si>
    <t>Túlnyúlás a korpusz alja alatt (G)</t>
  </si>
  <si>
    <t>+5</t>
  </si>
  <si>
    <t>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</si>
</sst>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0.0_ ;\-0.0\ "/>
    <numFmt numFmtId="165" formatCode="0.0"/>
  </numFmts>
  <fonts count="4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  <charset val="238"/>
    </font>
    <font>
      <u/>
      <sz val="9.35"/>
      <color theme="10"/>
      <name val="Calibri"/>
      <family val="2"/>
      <charset val="238"/>
    </font>
    <font>
      <sz val="8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36"/>
      <color theme="1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charset val="238"/>
      <scheme val="minor"/>
    </font>
    <font>
      <b/>
      <sz val="14"/>
      <color theme="0"/>
      <name val="Aptos Narrow"/>
      <family val="2"/>
      <scheme val="minor"/>
    </font>
    <font>
      <sz val="16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charset val="238"/>
      <scheme val="minor"/>
    </font>
    <font>
      <sz val="10"/>
      <name val="Arial CE"/>
      <family val="2"/>
      <charset val="238"/>
    </font>
    <font>
      <sz val="10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0"/>
      <name val="Arial CE"/>
      <charset val="238"/>
    </font>
    <font>
      <sz val="11"/>
      <name val="Aptos Narrow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ptos Narrow"/>
      <family val="2"/>
      <charset val="238"/>
      <scheme val="minor"/>
    </font>
    <font>
      <b/>
      <sz val="12"/>
      <color theme="0"/>
      <name val="Arial"/>
      <family val="2"/>
      <charset val="238"/>
    </font>
    <font>
      <b/>
      <sz val="12"/>
      <color rgb="FFFF0000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4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4"/>
      <color theme="0"/>
      <name val="Arial"/>
      <family val="2"/>
      <charset val="238"/>
    </font>
    <font>
      <sz val="12"/>
      <color theme="1"/>
      <name val="Aptos"/>
      <family val="2"/>
    </font>
    <font>
      <b/>
      <sz val="14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6"/>
      <color theme="1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9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249977111117893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 style="dashed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thin">
        <color indexed="64"/>
      </bottom>
      <diagonal/>
    </border>
    <border>
      <left style="dashed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indexed="64"/>
      </bottom>
      <diagonal/>
    </border>
    <border>
      <left style="dashed">
        <color auto="1"/>
      </left>
      <right style="dashed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dashed">
        <color auto="1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dashed">
        <color indexed="64"/>
      </left>
      <right/>
      <top style="thick">
        <color indexed="64"/>
      </top>
      <bottom/>
      <diagonal/>
    </border>
    <border>
      <left/>
      <right style="dashed">
        <color auto="1"/>
      </right>
      <top style="thick">
        <color indexed="64"/>
      </top>
      <bottom/>
      <diagonal/>
    </border>
    <border>
      <left/>
      <right style="dashed">
        <color auto="1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20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5" fillId="0" borderId="0"/>
    <xf numFmtId="44" fontId="36" fillId="0" borderId="0" applyFont="0" applyFill="0" applyBorder="0" applyAlignment="0" applyProtection="0"/>
  </cellStyleXfs>
  <cellXfs count="394">
    <xf numFmtId="0" fontId="0" fillId="0" borderId="0" xfId="0"/>
    <xf numFmtId="0" fontId="0" fillId="0" borderId="0" xfId="0" applyAlignment="1" applyProtection="1">
      <alignment vertical="center"/>
      <protection hidden="1"/>
    </xf>
    <xf numFmtId="1" fontId="0" fillId="0" borderId="0" xfId="0" applyNumberFormat="1"/>
    <xf numFmtId="49" fontId="3" fillId="0" borderId="0" xfId="2" applyNumberFormat="1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6" fillId="3" borderId="0" xfId="4" applyFill="1" applyProtection="1">
      <protection hidden="1"/>
    </xf>
    <xf numFmtId="0" fontId="6" fillId="4" borderId="0" xfId="4" applyFill="1" applyProtection="1">
      <protection hidden="1"/>
    </xf>
    <xf numFmtId="0" fontId="0" fillId="4" borderId="0" xfId="0" applyFill="1" applyProtection="1">
      <protection hidden="1"/>
    </xf>
    <xf numFmtId="0" fontId="0" fillId="0" borderId="0" xfId="0" applyAlignment="1">
      <alignment horizontal="left"/>
    </xf>
    <xf numFmtId="0" fontId="0" fillId="0" borderId="0" xfId="0" applyProtection="1">
      <protection locked="0"/>
    </xf>
    <xf numFmtId="0" fontId="7" fillId="0" borderId="0" xfId="5" applyBorder="1" applyAlignment="1" applyProtection="1">
      <alignment horizontal="left"/>
    </xf>
    <xf numFmtId="0" fontId="7" fillId="0" borderId="0" xfId="5" applyBorder="1" applyAlignment="1" applyProtection="1"/>
    <xf numFmtId="0" fontId="0" fillId="0" borderId="0" xfId="0" applyAlignment="1" applyProtection="1">
      <alignment vertical="top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wrapText="1"/>
      <protection hidden="1"/>
    </xf>
    <xf numFmtId="0" fontId="13" fillId="0" borderId="0" xfId="0" applyFont="1"/>
    <xf numFmtId="165" fontId="0" fillId="0" borderId="0" xfId="0" applyNumberFormat="1"/>
    <xf numFmtId="0" fontId="0" fillId="0" borderId="0" xfId="0" applyAlignment="1">
      <alignment horizontal="right" vertic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 wrapText="1"/>
    </xf>
    <xf numFmtId="1" fontId="0" fillId="0" borderId="0" xfId="0" applyNumberFormat="1" applyAlignment="1">
      <alignment horizontal="center"/>
    </xf>
    <xf numFmtId="0" fontId="8" fillId="0" borderId="0" xfId="0" applyFont="1" applyAlignment="1" applyProtection="1">
      <alignment wrapText="1"/>
      <protection hidden="1"/>
    </xf>
    <xf numFmtId="0" fontId="6" fillId="4" borderId="0" xfId="4" applyFill="1"/>
    <xf numFmtId="0" fontId="0" fillId="0" borderId="0" xfId="0" applyAlignment="1" applyProtection="1">
      <alignment horizontal="left"/>
      <protection locked="0"/>
    </xf>
    <xf numFmtId="0" fontId="3" fillId="0" borderId="0" xfId="2"/>
    <xf numFmtId="0" fontId="0" fillId="0" borderId="10" xfId="0" applyBorder="1"/>
    <xf numFmtId="0" fontId="15" fillId="0" borderId="0" xfId="0" applyFont="1" applyProtection="1"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horizontal="left"/>
      <protection hidden="1"/>
    </xf>
    <xf numFmtId="0" fontId="16" fillId="0" borderId="0" xfId="0" applyFont="1"/>
    <xf numFmtId="0" fontId="0" fillId="0" borderId="11" xfId="0" applyBorder="1" applyAlignment="1" applyProtection="1">
      <alignment vertical="center" wrapText="1"/>
      <protection hidden="1"/>
    </xf>
    <xf numFmtId="0" fontId="12" fillId="0" borderId="0" xfId="0" applyFont="1"/>
    <xf numFmtId="0" fontId="13" fillId="0" borderId="0" xfId="0" applyFont="1" applyProtection="1">
      <protection hidden="1"/>
    </xf>
    <xf numFmtId="1" fontId="13" fillId="0" borderId="0" xfId="0" applyNumberFormat="1" applyFont="1" applyAlignment="1" applyProtection="1">
      <alignment vertical="top"/>
      <protection hidden="1"/>
    </xf>
    <xf numFmtId="0" fontId="13" fillId="0" borderId="0" xfId="0" applyFont="1" applyAlignment="1" applyProtection="1">
      <alignment vertical="center"/>
      <protection hidden="1"/>
    </xf>
    <xf numFmtId="1" fontId="5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1" fontId="5" fillId="0" borderId="0" xfId="0" applyNumberFormat="1" applyFont="1" applyAlignment="1">
      <alignment vertical="center" textRotation="90"/>
    </xf>
    <xf numFmtId="0" fontId="5" fillId="0" borderId="0" xfId="0" applyFont="1" applyAlignment="1">
      <alignment horizontal="right" vertical="center" textRotation="90"/>
    </xf>
    <xf numFmtId="0" fontId="5" fillId="0" borderId="0" xfId="0" applyFont="1" applyAlignment="1">
      <alignment horizontal="right" vertical="top" textRotation="90"/>
    </xf>
    <xf numFmtId="0" fontId="5" fillId="0" borderId="0" xfId="0" applyFont="1" applyAlignment="1">
      <alignment vertical="center" textRotation="90"/>
    </xf>
    <xf numFmtId="1" fontId="5" fillId="0" borderId="0" xfId="0" applyNumberFormat="1" applyFont="1" applyAlignment="1">
      <alignment textRotation="90"/>
    </xf>
    <xf numFmtId="0" fontId="5" fillId="0" borderId="0" xfId="0" applyFont="1" applyAlignment="1">
      <alignment vertical="top" textRotation="90"/>
    </xf>
    <xf numFmtId="0" fontId="5" fillId="0" borderId="0" xfId="0" applyFont="1" applyAlignment="1">
      <alignment textRotation="90"/>
    </xf>
    <xf numFmtId="165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right" textRotation="90"/>
    </xf>
    <xf numFmtId="0" fontId="5" fillId="0" borderId="0" xfId="0" applyFont="1" applyAlignment="1">
      <alignment horizontal="left" textRotation="90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4"/>
    </xf>
    <xf numFmtId="0" fontId="12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65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hidden="1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0" fontId="18" fillId="0" borderId="0" xfId="0" applyFont="1"/>
    <xf numFmtId="49" fontId="0" fillId="0" borderId="0" xfId="0" applyNumberFormat="1"/>
    <xf numFmtId="0" fontId="0" fillId="5" borderId="0" xfId="0" applyFill="1"/>
    <xf numFmtId="0" fontId="21" fillId="0" borderId="0" xfId="8"/>
    <xf numFmtId="0" fontId="5" fillId="0" borderId="0" xfId="0" applyFont="1" applyAlignment="1">
      <alignment vertical="center" textRotation="90" wrapText="1"/>
    </xf>
    <xf numFmtId="0" fontId="5" fillId="0" borderId="0" xfId="0" applyFont="1" applyAlignment="1">
      <alignment horizontal="center"/>
    </xf>
    <xf numFmtId="0" fontId="22" fillId="0" borderId="1" xfId="0" applyFont="1" applyBorder="1" applyAlignment="1" applyProtection="1">
      <alignment horizontal="center"/>
      <protection locked="0"/>
    </xf>
    <xf numFmtId="0" fontId="22" fillId="0" borderId="20" xfId="0" applyFont="1" applyBorder="1" applyAlignment="1" applyProtection="1">
      <alignment horizontal="center"/>
      <protection locked="0"/>
    </xf>
    <xf numFmtId="0" fontId="26" fillId="0" borderId="0" xfId="12" applyFont="1"/>
    <xf numFmtId="0" fontId="0" fillId="0" borderId="0" xfId="0" applyAlignment="1">
      <alignment vertical="center"/>
    </xf>
    <xf numFmtId="0" fontId="12" fillId="5" borderId="0" xfId="0" applyFont="1" applyFill="1"/>
    <xf numFmtId="1" fontId="0" fillId="0" borderId="0" xfId="0" applyNumberFormat="1" applyAlignment="1">
      <alignment vertical="center"/>
    </xf>
    <xf numFmtId="0" fontId="26" fillId="0" borderId="0" xfId="0" applyFont="1"/>
    <xf numFmtId="0" fontId="28" fillId="0" borderId="0" xfId="12" applyFont="1" applyAlignment="1">
      <alignment horizontal="left"/>
    </xf>
    <xf numFmtId="0" fontId="27" fillId="0" borderId="0" xfId="0" applyFont="1" applyAlignment="1" applyProtection="1">
      <alignment horizontal="left" vertical="center"/>
      <protection hidden="1"/>
    </xf>
    <xf numFmtId="165" fontId="27" fillId="0" borderId="0" xfId="0" applyNumberFormat="1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vertical="center"/>
      <protection hidden="1"/>
    </xf>
    <xf numFmtId="0" fontId="30" fillId="3" borderId="0" xfId="4" applyFont="1" applyFill="1" applyProtection="1">
      <protection hidden="1"/>
    </xf>
    <xf numFmtId="0" fontId="31" fillId="0" borderId="0" xfId="0" applyFont="1" applyProtection="1">
      <protection hidden="1"/>
    </xf>
    <xf numFmtId="0" fontId="30" fillId="4" borderId="0" xfId="4" applyFont="1" applyFill="1" applyProtection="1">
      <protection hidden="1"/>
    </xf>
    <xf numFmtId="0" fontId="31" fillId="4" borderId="0" xfId="0" applyFont="1" applyFill="1" applyProtection="1">
      <protection hidden="1"/>
    </xf>
    <xf numFmtId="0" fontId="31" fillId="0" borderId="0" xfId="0" applyFont="1" applyAlignment="1" applyProtection="1">
      <alignment vertical="top"/>
      <protection hidden="1"/>
    </xf>
    <xf numFmtId="0" fontId="31" fillId="0" borderId="0" xfId="0" applyFont="1" applyAlignment="1" applyProtection="1">
      <alignment wrapText="1"/>
      <protection hidden="1"/>
    </xf>
    <xf numFmtId="0" fontId="31" fillId="0" borderId="0" xfId="0" applyFont="1" applyAlignment="1" applyProtection="1">
      <alignment vertical="center"/>
      <protection hidden="1"/>
    </xf>
    <xf numFmtId="3" fontId="3" fillId="0" borderId="0" xfId="2" applyNumberFormat="1"/>
    <xf numFmtId="49" fontId="21" fillId="0" borderId="0" xfId="8" applyNumberFormat="1"/>
    <xf numFmtId="0" fontId="0" fillId="0" borderId="26" xfId="0" applyBorder="1"/>
    <xf numFmtId="0" fontId="5" fillId="0" borderId="0" xfId="0" applyFont="1" applyAlignment="1" applyProtection="1">
      <alignment horizontal="center" vertical="center"/>
      <protection hidden="1"/>
    </xf>
    <xf numFmtId="0" fontId="0" fillId="0" borderId="27" xfId="0" applyBorder="1" applyProtection="1">
      <protection hidden="1"/>
    </xf>
    <xf numFmtId="0" fontId="5" fillId="0" borderId="0" xfId="0" applyFont="1" applyAlignment="1">
      <alignment horizontal="center" vertical="center"/>
    </xf>
    <xf numFmtId="0" fontId="0" fillId="0" borderId="28" xfId="0" applyBorder="1"/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0" fontId="16" fillId="0" borderId="0" xfId="0" applyFont="1" applyAlignment="1">
      <alignment vertical="center"/>
    </xf>
    <xf numFmtId="0" fontId="35" fillId="0" borderId="0" xfId="0" applyFont="1"/>
    <xf numFmtId="0" fontId="16" fillId="0" borderId="28" xfId="0" applyFont="1" applyBorder="1" applyAlignment="1" applyProtection="1">
      <alignment vertical="center"/>
      <protection hidden="1"/>
    </xf>
    <xf numFmtId="0" fontId="16" fillId="0" borderId="29" xfId="0" applyFont="1" applyBorder="1" applyAlignment="1" applyProtection="1">
      <alignment vertical="center"/>
      <protection hidden="1"/>
    </xf>
    <xf numFmtId="0" fontId="16" fillId="0" borderId="26" xfId="0" applyFont="1" applyBorder="1"/>
    <xf numFmtId="0" fontId="16" fillId="0" borderId="31" xfId="0" applyFont="1" applyBorder="1" applyAlignment="1" applyProtection="1">
      <alignment vertical="center"/>
      <protection hidden="1"/>
    </xf>
    <xf numFmtId="0" fontId="16" fillId="0" borderId="32" xfId="0" applyFont="1" applyBorder="1" applyAlignment="1" applyProtection="1">
      <alignment vertical="center"/>
      <protection hidden="1"/>
    </xf>
    <xf numFmtId="0" fontId="16" fillId="0" borderId="27" xfId="0" applyFont="1" applyBorder="1"/>
    <xf numFmtId="0" fontId="0" fillId="0" borderId="27" xfId="0" applyBorder="1"/>
    <xf numFmtId="1" fontId="5" fillId="0" borderId="0" xfId="0" applyNumberFormat="1" applyFont="1"/>
    <xf numFmtId="0" fontId="5" fillId="0" borderId="27" xfId="0" applyFont="1" applyBorder="1"/>
    <xf numFmtId="0" fontId="5" fillId="0" borderId="26" xfId="0" applyFont="1" applyBorder="1"/>
    <xf numFmtId="0" fontId="5" fillId="0" borderId="24" xfId="0" applyFont="1" applyBorder="1"/>
    <xf numFmtId="0" fontId="5" fillId="0" borderId="23" xfId="0" applyFont="1" applyBorder="1"/>
    <xf numFmtId="0" fontId="5" fillId="0" borderId="34" xfId="0" applyFont="1" applyBorder="1"/>
    <xf numFmtId="0" fontId="5" fillId="0" borderId="35" xfId="0" applyFont="1" applyBorder="1"/>
    <xf numFmtId="0" fontId="5" fillId="0" borderId="5" xfId="0" applyFont="1" applyBorder="1"/>
    <xf numFmtId="0" fontId="5" fillId="0" borderId="11" xfId="0" applyFont="1" applyBorder="1"/>
    <xf numFmtId="0" fontId="0" fillId="0" borderId="36" xfId="0" applyBorder="1"/>
    <xf numFmtId="165" fontId="5" fillId="0" borderId="0" xfId="0" applyNumberFormat="1" applyFont="1" applyAlignment="1">
      <alignment vertical="center" textRotation="90"/>
    </xf>
    <xf numFmtId="165" fontId="5" fillId="0" borderId="0" xfId="0" applyNumberFormat="1" applyFont="1" applyAlignment="1">
      <alignment vertical="top" textRotation="90"/>
    </xf>
    <xf numFmtId="0" fontId="0" fillId="0" borderId="0" xfId="0" applyAlignment="1">
      <alignment horizontal="center" textRotation="45"/>
    </xf>
    <xf numFmtId="1" fontId="5" fillId="0" borderId="0" xfId="0" applyNumberFormat="1" applyFont="1" applyAlignment="1">
      <alignment horizontal="right" vertical="center" textRotation="90"/>
    </xf>
    <xf numFmtId="0" fontId="0" fillId="0" borderId="1" xfId="0" applyBorder="1"/>
    <xf numFmtId="0" fontId="13" fillId="0" borderId="0" xfId="0" applyFont="1" applyAlignment="1">
      <alignment textRotation="45"/>
    </xf>
    <xf numFmtId="0" fontId="5" fillId="0" borderId="0" xfId="0" applyFont="1" applyAlignment="1">
      <alignment horizontal="right"/>
    </xf>
    <xf numFmtId="0" fontId="5" fillId="0" borderId="0" xfId="0" applyFont="1" applyAlignment="1" applyProtection="1">
      <alignment horizontal="center"/>
      <protection hidden="1"/>
    </xf>
    <xf numFmtId="0" fontId="0" fillId="0" borderId="26" xfId="0" applyBorder="1" applyProtection="1">
      <protection hidden="1"/>
    </xf>
    <xf numFmtId="0" fontId="5" fillId="0" borderId="33" xfId="0" applyFont="1" applyBorder="1" applyAlignment="1">
      <alignment vertical="center"/>
    </xf>
    <xf numFmtId="0" fontId="12" fillId="0" borderId="0" xfId="0" applyFont="1" applyAlignment="1">
      <alignment textRotation="90"/>
    </xf>
    <xf numFmtId="0" fontId="0" fillId="0" borderId="5" xfId="0" applyBorder="1"/>
    <xf numFmtId="0" fontId="0" fillId="0" borderId="11" xfId="0" applyBorder="1" applyProtection="1">
      <protection hidden="1"/>
    </xf>
    <xf numFmtId="0" fontId="0" fillId="0" borderId="37" xfId="0" applyBorder="1" applyProtection="1">
      <protection hidden="1"/>
    </xf>
    <xf numFmtId="0" fontId="0" fillId="0" borderId="23" xfId="0" applyBorder="1" applyProtection="1">
      <protection hidden="1"/>
    </xf>
    <xf numFmtId="0" fontId="5" fillId="0" borderId="37" xfId="0" applyFont="1" applyBorder="1"/>
    <xf numFmtId="0" fontId="5" fillId="0" borderId="38" xfId="0" applyFont="1" applyBorder="1"/>
    <xf numFmtId="0" fontId="5" fillId="0" borderId="36" xfId="0" applyFont="1" applyBorder="1"/>
    <xf numFmtId="1" fontId="5" fillId="0" borderId="30" xfId="0" applyNumberFormat="1" applyFont="1" applyBorder="1" applyAlignment="1">
      <alignment vertical="center" textRotation="90"/>
    </xf>
    <xf numFmtId="1" fontId="5" fillId="0" borderId="26" xfId="0" applyNumberFormat="1" applyFont="1" applyBorder="1" applyAlignment="1">
      <alignment vertical="center" textRotation="90"/>
    </xf>
    <xf numFmtId="1" fontId="22" fillId="0" borderId="0" xfId="0" applyNumberFormat="1" applyFont="1" applyAlignment="1">
      <alignment vertical="center" textRotation="90"/>
    </xf>
    <xf numFmtId="0" fontId="5" fillId="0" borderId="27" xfId="0" applyFont="1" applyBorder="1" applyAlignment="1">
      <alignment horizontal="center"/>
    </xf>
    <xf numFmtId="1" fontId="0" fillId="0" borderId="1" xfId="0" applyNumberFormat="1" applyBorder="1" applyAlignment="1" applyProtection="1">
      <alignment vertical="top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vertical="center"/>
      <protection hidden="1"/>
    </xf>
    <xf numFmtId="1" fontId="5" fillId="0" borderId="0" xfId="0" applyNumberFormat="1" applyFont="1" applyAlignment="1" applyProtection="1">
      <alignment horizontal="center" vertical="center"/>
      <protection hidden="1"/>
    </xf>
    <xf numFmtId="1" fontId="5" fillId="0" borderId="0" xfId="0" applyNumberFormat="1" applyFont="1" applyAlignment="1" applyProtection="1">
      <alignment vertical="center" textRotation="90"/>
      <protection hidden="1"/>
    </xf>
    <xf numFmtId="0" fontId="5" fillId="0" borderId="0" xfId="0" applyFont="1" applyAlignment="1" applyProtection="1">
      <alignment horizontal="center" textRotation="90"/>
      <protection hidden="1"/>
    </xf>
    <xf numFmtId="0" fontId="0" fillId="0" borderId="5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40" xfId="0" applyBorder="1" applyProtection="1">
      <protection hidden="1"/>
    </xf>
    <xf numFmtId="0" fontId="0" fillId="0" borderId="42" xfId="0" applyBorder="1" applyProtection="1">
      <protection hidden="1"/>
    </xf>
    <xf numFmtId="0" fontId="0" fillId="0" borderId="41" xfId="0" applyBorder="1" applyProtection="1">
      <protection hidden="1"/>
    </xf>
    <xf numFmtId="0" fontId="0" fillId="0" borderId="43" xfId="0" applyBorder="1" applyProtection="1">
      <protection hidden="1"/>
    </xf>
    <xf numFmtId="0" fontId="5" fillId="0" borderId="41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textRotation="90"/>
      <protection hidden="1"/>
    </xf>
    <xf numFmtId="0" fontId="5" fillId="0" borderId="26" xfId="0" applyFont="1" applyBorder="1" applyAlignment="1" applyProtection="1">
      <alignment horizontal="center" textRotation="90"/>
      <protection hidden="1"/>
    </xf>
    <xf numFmtId="0" fontId="5" fillId="0" borderId="10" xfId="0" applyFont="1" applyBorder="1"/>
    <xf numFmtId="0" fontId="0" fillId="0" borderId="28" xfId="0" applyBorder="1" applyProtection="1">
      <protection hidden="1"/>
    </xf>
    <xf numFmtId="0" fontId="0" fillId="0" borderId="38" xfId="0" applyBorder="1" applyProtection="1">
      <protection hidden="1"/>
    </xf>
    <xf numFmtId="0" fontId="0" fillId="0" borderId="45" xfId="0" applyBorder="1"/>
    <xf numFmtId="165" fontId="5" fillId="0" borderId="0" xfId="0" applyNumberFormat="1" applyFont="1"/>
    <xf numFmtId="0" fontId="5" fillId="0" borderId="0" xfId="0" applyFont="1" applyAlignment="1">
      <alignment horizontal="left" vertical="center" textRotation="90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textRotation="90"/>
    </xf>
    <xf numFmtId="0" fontId="37" fillId="4" borderId="0" xfId="1" applyFont="1" applyFill="1" applyBorder="1" applyAlignment="1" applyProtection="1">
      <alignment vertical="center"/>
      <protection locked="0" hidden="1"/>
    </xf>
    <xf numFmtId="0" fontId="24" fillId="0" borderId="0" xfId="0" applyFont="1" applyAlignment="1">
      <alignment horizontal="center"/>
    </xf>
    <xf numFmtId="2" fontId="0" fillId="0" borderId="0" xfId="0" applyNumberFormat="1"/>
    <xf numFmtId="0" fontId="0" fillId="0" borderId="29" xfId="0" applyBorder="1" applyProtection="1">
      <protection hidden="1"/>
    </xf>
    <xf numFmtId="0" fontId="0" fillId="0" borderId="33" xfId="0" applyBorder="1" applyProtection="1">
      <protection hidden="1"/>
    </xf>
    <xf numFmtId="0" fontId="0" fillId="0" borderId="49" xfId="0" applyBorder="1" applyProtection="1">
      <protection hidden="1"/>
    </xf>
    <xf numFmtId="0" fontId="38" fillId="0" borderId="0" xfId="0" applyFont="1"/>
    <xf numFmtId="0" fontId="0" fillId="0" borderId="0" xfId="0" applyAlignment="1" applyProtection="1">
      <alignment horizontal="right" indent="1"/>
      <protection hidden="1"/>
    </xf>
    <xf numFmtId="1" fontId="5" fillId="2" borderId="1" xfId="0" applyNumberFormat="1" applyFont="1" applyFill="1" applyBorder="1" applyAlignment="1" applyProtection="1">
      <alignment horizontal="center" vertical="center"/>
      <protection locked="0" hidden="1"/>
    </xf>
    <xf numFmtId="165" fontId="5" fillId="2" borderId="1" xfId="0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29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3" xfId="0" applyFont="1" applyBorder="1" applyAlignment="1" applyProtection="1">
      <alignment horizontal="center"/>
      <protection locked="0" hidden="1"/>
    </xf>
    <xf numFmtId="0" fontId="5" fillId="0" borderId="20" xfId="0" applyFont="1" applyBorder="1" applyAlignment="1" applyProtection="1">
      <alignment horizontal="center"/>
      <protection locked="0" hidden="1"/>
    </xf>
    <xf numFmtId="0" fontId="5" fillId="0" borderId="25" xfId="0" applyFont="1" applyBorder="1" applyAlignment="1" applyProtection="1">
      <alignment horizontal="center"/>
      <protection locked="0" hidden="1"/>
    </xf>
    <xf numFmtId="0" fontId="38" fillId="0" borderId="0" xfId="0" applyFont="1" applyAlignment="1">
      <alignment vertical="center"/>
    </xf>
    <xf numFmtId="165" fontId="0" fillId="0" borderId="0" xfId="0" applyNumberFormat="1" applyProtection="1">
      <protection hidden="1"/>
    </xf>
    <xf numFmtId="0" fontId="24" fillId="0" borderId="10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vertical="center" textRotation="90"/>
      <protection hidden="1"/>
    </xf>
    <xf numFmtId="0" fontId="0" fillId="0" borderId="45" xfId="0" applyBorder="1" applyProtection="1">
      <protection hidden="1"/>
    </xf>
    <xf numFmtId="0" fontId="5" fillId="0" borderId="33" xfId="0" applyFont="1" applyBorder="1" applyProtection="1">
      <protection hidden="1"/>
    </xf>
    <xf numFmtId="0" fontId="12" fillId="5" borderId="0" xfId="0" applyFont="1" applyFill="1" applyProtection="1">
      <protection hidden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31" fillId="0" borderId="10" xfId="0" applyFont="1" applyBorder="1" applyProtection="1">
      <protection hidden="1"/>
    </xf>
    <xf numFmtId="0" fontId="31" fillId="0" borderId="10" xfId="0" applyFont="1" applyBorder="1"/>
    <xf numFmtId="0" fontId="31" fillId="0" borderId="36" xfId="0" applyFont="1" applyBorder="1" applyProtection="1">
      <protection hidden="1"/>
    </xf>
    <xf numFmtId="0" fontId="34" fillId="0" borderId="36" xfId="0" applyFont="1" applyBorder="1" applyAlignment="1" applyProtection="1">
      <alignment vertical="center"/>
      <protection hidden="1"/>
    </xf>
    <xf numFmtId="0" fontId="32" fillId="0" borderId="0" xfId="1" applyFont="1" applyFill="1" applyBorder="1" applyAlignment="1" applyProtection="1">
      <alignment vertical="center"/>
      <protection locked="0" hidden="1"/>
    </xf>
    <xf numFmtId="0" fontId="41" fillId="0" borderId="0" xfId="0" applyFont="1"/>
    <xf numFmtId="0" fontId="31" fillId="0" borderId="0" xfId="0" applyFont="1" applyAlignment="1" applyProtection="1">
      <alignment vertical="top" wrapText="1"/>
      <protection hidden="1"/>
    </xf>
    <xf numFmtId="0" fontId="33" fillId="0" borderId="0" xfId="0" applyFont="1" applyAlignment="1" applyProtection="1">
      <alignment wrapText="1"/>
      <protection hidden="1"/>
    </xf>
    <xf numFmtId="0" fontId="34" fillId="0" borderId="0" xfId="0" applyFont="1" applyAlignment="1" applyProtection="1">
      <alignment vertical="center"/>
      <protection hidden="1"/>
    </xf>
    <xf numFmtId="0" fontId="31" fillId="0" borderId="35" xfId="0" applyFont="1" applyBorder="1" applyProtection="1">
      <protection hidden="1"/>
    </xf>
    <xf numFmtId="0" fontId="31" fillId="0" borderId="11" xfId="0" applyFont="1" applyBorder="1" applyProtection="1">
      <protection hidden="1"/>
    </xf>
    <xf numFmtId="0" fontId="31" fillId="0" borderId="23" xfId="0" applyFont="1" applyBorder="1" applyProtection="1">
      <protection hidden="1"/>
    </xf>
    <xf numFmtId="0" fontId="31" fillId="0" borderId="11" xfId="0" applyFont="1" applyBorder="1" applyAlignment="1" applyProtection="1">
      <alignment wrapText="1"/>
      <protection hidden="1"/>
    </xf>
    <xf numFmtId="0" fontId="33" fillId="0" borderId="11" xfId="0" applyFont="1" applyBorder="1" applyAlignment="1" applyProtection="1">
      <alignment wrapText="1"/>
      <protection hidden="1"/>
    </xf>
    <xf numFmtId="0" fontId="34" fillId="0" borderId="11" xfId="0" applyFont="1" applyBorder="1" applyAlignment="1" applyProtection="1">
      <alignment vertical="center"/>
      <protection hidden="1"/>
    </xf>
    <xf numFmtId="0" fontId="34" fillId="0" borderId="23" xfId="0" applyFont="1" applyBorder="1" applyAlignment="1" applyProtection="1">
      <alignment vertical="center"/>
      <protection hidden="1"/>
    </xf>
    <xf numFmtId="0" fontId="0" fillId="0" borderId="34" xfId="0" applyBorder="1"/>
    <xf numFmtId="0" fontId="0" fillId="0" borderId="24" xfId="0" applyBorder="1"/>
    <xf numFmtId="0" fontId="31" fillId="0" borderId="34" xfId="0" applyFont="1" applyBorder="1" applyProtection="1">
      <protection hidden="1"/>
    </xf>
    <xf numFmtId="0" fontId="31" fillId="0" borderId="5" xfId="0" applyFont="1" applyBorder="1" applyProtection="1">
      <protection hidden="1"/>
    </xf>
    <xf numFmtId="0" fontId="31" fillId="0" borderId="24" xfId="0" applyFont="1" applyBorder="1" applyProtection="1">
      <protection hidden="1"/>
    </xf>
    <xf numFmtId="0" fontId="5" fillId="0" borderId="0" xfId="0" applyFont="1" applyAlignment="1" applyProtection="1">
      <alignment horizontal="center" vertical="center" textRotation="90"/>
      <protection hidden="1"/>
    </xf>
    <xf numFmtId="0" fontId="18" fillId="0" borderId="11" xfId="0" applyFont="1" applyBorder="1"/>
    <xf numFmtId="0" fontId="0" fillId="0" borderId="0" xfId="0" applyAlignment="1">
      <alignment horizontal="left" wrapText="1"/>
    </xf>
    <xf numFmtId="0" fontId="0" fillId="0" borderId="51" xfId="0" applyBorder="1" applyProtection="1">
      <protection hidden="1"/>
    </xf>
    <xf numFmtId="0" fontId="13" fillId="0" borderId="52" xfId="0" applyFont="1" applyBorder="1" applyProtection="1">
      <protection hidden="1"/>
    </xf>
    <xf numFmtId="0" fontId="0" fillId="0" borderId="53" xfId="0" applyBorder="1" applyProtection="1">
      <protection hidden="1"/>
    </xf>
    <xf numFmtId="0" fontId="0" fillId="0" borderId="53" xfId="0" applyBorder="1"/>
    <xf numFmtId="0" fontId="0" fillId="0" borderId="54" xfId="0" applyBorder="1"/>
    <xf numFmtId="0" fontId="0" fillId="0" borderId="35" xfId="0" applyBorder="1"/>
    <xf numFmtId="0" fontId="0" fillId="0" borderId="11" xfId="0" applyBorder="1"/>
    <xf numFmtId="0" fontId="0" fillId="0" borderId="23" xfId="0" applyBorder="1"/>
    <xf numFmtId="1" fontId="5" fillId="0" borderId="0" xfId="0" applyNumberFormat="1" applyFont="1" applyAlignment="1">
      <alignment horizontal="center" textRotation="90"/>
    </xf>
    <xf numFmtId="0" fontId="22" fillId="0" borderId="0" xfId="0" applyFont="1" applyAlignment="1">
      <alignment vertical="center" wrapText="1"/>
    </xf>
    <xf numFmtId="0" fontId="5" fillId="0" borderId="39" xfId="0" applyFont="1" applyBorder="1" applyAlignment="1" applyProtection="1">
      <alignment horizontal="center"/>
      <protection hidden="1"/>
    </xf>
    <xf numFmtId="0" fontId="0" fillId="0" borderId="33" xfId="0" applyBorder="1"/>
    <xf numFmtId="0" fontId="5" fillId="0" borderId="0" xfId="0" applyFont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5" xfId="13" applyNumberFormat="1" applyFont="1" applyBorder="1" applyAlignment="1">
      <alignment horizontal="left" vertical="center" textRotation="90"/>
    </xf>
    <xf numFmtId="0" fontId="1" fillId="0" borderId="0" xfId="1" applyProtection="1">
      <protection hidden="1"/>
    </xf>
    <xf numFmtId="0" fontId="5" fillId="0" borderId="27" xfId="0" applyFont="1" applyBorder="1" applyAlignment="1" applyProtection="1">
      <alignment horizontal="center"/>
      <protection hidden="1"/>
    </xf>
    <xf numFmtId="1" fontId="5" fillId="0" borderId="27" xfId="0" applyNumberFormat="1" applyFont="1" applyBorder="1" applyAlignment="1">
      <alignment horizontal="center"/>
    </xf>
    <xf numFmtId="165" fontId="5" fillId="0" borderId="44" xfId="13" applyNumberFormat="1" applyFont="1" applyBorder="1" applyAlignment="1">
      <alignment horizontal="left" vertical="center" textRotation="90"/>
    </xf>
    <xf numFmtId="0" fontId="34" fillId="0" borderId="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textRotation="90" wrapText="1"/>
    </xf>
    <xf numFmtId="0" fontId="5" fillId="0" borderId="1" xfId="0" applyFont="1" applyBorder="1" applyAlignment="1">
      <alignment horizontal="left"/>
    </xf>
    <xf numFmtId="0" fontId="13" fillId="0" borderId="1" xfId="0" applyFont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left" vertical="center"/>
      <protection hidden="1"/>
    </xf>
    <xf numFmtId="0" fontId="0" fillId="0" borderId="0" xfId="0" applyAlignment="1">
      <alignment horizontal="center" vertical="center" wrapText="1"/>
    </xf>
    <xf numFmtId="1" fontId="13" fillId="0" borderId="1" xfId="0" applyNumberFormat="1" applyFont="1" applyBorder="1" applyAlignment="1" applyProtection="1">
      <alignment horizontal="left" vertical="center"/>
      <protection hidden="1"/>
    </xf>
    <xf numFmtId="0" fontId="13" fillId="0" borderId="1" xfId="0" applyFont="1" applyBorder="1" applyAlignment="1">
      <alignment horizontal="center" vertical="center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 wrapText="1"/>
      <protection hidden="1"/>
    </xf>
    <xf numFmtId="0" fontId="34" fillId="0" borderId="1" xfId="0" applyFont="1" applyBorder="1" applyAlignment="1">
      <alignment horizontal="center" vertical="center"/>
    </xf>
    <xf numFmtId="0" fontId="32" fillId="4" borderId="0" xfId="1" applyFont="1" applyFill="1" applyBorder="1" applyAlignment="1" applyProtection="1">
      <alignment horizontal="center" vertical="center"/>
      <protection locked="0" hidden="1"/>
    </xf>
    <xf numFmtId="0" fontId="5" fillId="0" borderId="1" xfId="0" applyFont="1" applyBorder="1" applyAlignment="1">
      <alignment horizontal="center" vertical="center"/>
    </xf>
    <xf numFmtId="0" fontId="19" fillId="4" borderId="0" xfId="4" applyFont="1" applyFill="1" applyAlignment="1" applyProtection="1">
      <alignment horizontal="center" vertical="center"/>
      <protection hidden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17" fillId="0" borderId="2" xfId="0" applyFont="1" applyBorder="1" applyAlignment="1" applyProtection="1">
      <alignment horizontal="center" vertical="center" wrapText="1"/>
      <protection hidden="1"/>
    </xf>
    <xf numFmtId="0" fontId="17" fillId="0" borderId="3" xfId="0" applyFont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center" vertical="center" wrapText="1"/>
      <protection hidden="1"/>
    </xf>
    <xf numFmtId="165" fontId="5" fillId="0" borderId="44" xfId="0" applyNumberFormat="1" applyFont="1" applyBorder="1" applyAlignment="1">
      <alignment horizontal="left" vertical="center" textRotation="90"/>
    </xf>
    <xf numFmtId="0" fontId="5" fillId="0" borderId="5" xfId="0" applyFont="1" applyBorder="1" applyAlignment="1">
      <alignment horizontal="left" vertical="center" textRotation="90"/>
    </xf>
    <xf numFmtId="1" fontId="5" fillId="0" borderId="0" xfId="0" applyNumberFormat="1" applyFont="1" applyAlignment="1" applyProtection="1">
      <alignment horizontal="center" vertical="center" textRotation="90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35" xfId="0" applyFont="1" applyBorder="1" applyAlignment="1" applyProtection="1">
      <alignment horizontal="center" vertical="center" wrapText="1"/>
      <protection hidden="1"/>
    </xf>
    <xf numFmtId="0" fontId="5" fillId="0" borderId="34" xfId="0" applyFont="1" applyBorder="1" applyAlignment="1" applyProtection="1">
      <alignment horizontal="center" vertical="center" wrapText="1"/>
      <protection hidden="1"/>
    </xf>
    <xf numFmtId="0" fontId="5" fillId="0" borderId="23" xfId="0" applyFont="1" applyBorder="1" applyAlignment="1" applyProtection="1">
      <alignment horizontal="center" vertical="center" wrapText="1"/>
      <protection hidden="1"/>
    </xf>
    <xf numFmtId="0" fontId="5" fillId="0" borderId="24" xfId="0" applyFont="1" applyBorder="1" applyAlignment="1" applyProtection="1">
      <alignment horizontal="center" vertical="center" wrapText="1"/>
      <protection hidden="1"/>
    </xf>
    <xf numFmtId="165" fontId="5" fillId="0" borderId="0" xfId="0" applyNumberFormat="1" applyFont="1" applyAlignment="1">
      <alignment horizontal="center" vertical="center" textRotation="90"/>
    </xf>
    <xf numFmtId="0" fontId="32" fillId="4" borderId="0" xfId="1" applyFont="1" applyFill="1" applyAlignment="1" applyProtection="1">
      <alignment horizontal="center" vertical="center"/>
      <protection locked="0" hidden="1"/>
    </xf>
    <xf numFmtId="0" fontId="5" fillId="0" borderId="0" xfId="0" applyFont="1" applyAlignment="1">
      <alignment horizontal="center"/>
    </xf>
    <xf numFmtId="0" fontId="5" fillId="0" borderId="27" xfId="0" applyFont="1" applyBorder="1" applyAlignment="1">
      <alignment horizontal="center"/>
    </xf>
    <xf numFmtId="1" fontId="5" fillId="0" borderId="5" xfId="0" applyNumberFormat="1" applyFont="1" applyBorder="1" applyAlignment="1" applyProtection="1">
      <alignment horizontal="center" vertical="center" textRotation="90"/>
      <protection hidden="1"/>
    </xf>
    <xf numFmtId="1" fontId="5" fillId="0" borderId="44" xfId="0" applyNumberFormat="1" applyFont="1" applyBorder="1" applyAlignment="1" applyProtection="1">
      <alignment horizontal="center" vertical="center" textRotation="90"/>
      <protection hidden="1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165" fontId="5" fillId="0" borderId="10" xfId="0" applyNumberFormat="1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40" fillId="4" borderId="0" xfId="1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9" fillId="0" borderId="0" xfId="0" applyFont="1" applyAlignment="1">
      <alignment horizontal="center"/>
    </xf>
    <xf numFmtId="0" fontId="32" fillId="4" borderId="6" xfId="1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Alignment="1" applyProtection="1">
      <alignment horizontal="right" vertical="center"/>
      <protection hidden="1"/>
    </xf>
    <xf numFmtId="0" fontId="12" fillId="0" borderId="9" xfId="0" applyFont="1" applyBorder="1" applyAlignment="1" applyProtection="1">
      <alignment horizontal="right" vertical="center"/>
      <protection hidden="1"/>
    </xf>
    <xf numFmtId="0" fontId="0" fillId="5" borderId="7" xfId="0" applyFill="1" applyBorder="1" applyAlignment="1" applyProtection="1">
      <alignment horizontal="center"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5" borderId="8" xfId="0" applyFill="1" applyBorder="1" applyAlignment="1" applyProtection="1">
      <alignment horizontal="center"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18" fillId="0" borderId="5" xfId="0" applyFont="1" applyBorder="1" applyAlignment="1">
      <alignment horizontal="center"/>
    </xf>
    <xf numFmtId="0" fontId="18" fillId="0" borderId="5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32" fillId="4" borderId="35" xfId="1" applyFont="1" applyFill="1" applyBorder="1" applyAlignment="1" applyProtection="1">
      <alignment horizontal="center" vertical="center"/>
      <protection hidden="1"/>
    </xf>
    <xf numFmtId="0" fontId="32" fillId="4" borderId="10" xfId="1" applyFont="1" applyFill="1" applyBorder="1" applyAlignment="1" applyProtection="1">
      <alignment horizontal="center" vertical="center"/>
      <protection hidden="1"/>
    </xf>
    <xf numFmtId="0" fontId="32" fillId="4" borderId="34" xfId="1" applyFont="1" applyFill="1" applyBorder="1" applyAlignment="1" applyProtection="1">
      <alignment horizontal="center" vertical="center"/>
      <protection hidden="1"/>
    </xf>
    <xf numFmtId="0" fontId="32" fillId="4" borderId="11" xfId="1" applyFont="1" applyFill="1" applyBorder="1" applyAlignment="1" applyProtection="1">
      <alignment horizontal="center" vertical="center"/>
      <protection hidden="1"/>
    </xf>
    <xf numFmtId="0" fontId="32" fillId="4" borderId="0" xfId="1" applyFont="1" applyFill="1" applyAlignment="1" applyProtection="1">
      <alignment horizontal="center" vertical="center"/>
      <protection hidden="1"/>
    </xf>
    <xf numFmtId="0" fontId="32" fillId="4" borderId="5" xfId="1" applyFont="1" applyFill="1" applyBorder="1" applyAlignment="1" applyProtection="1">
      <alignment horizontal="center" vertical="center"/>
      <protection hidden="1"/>
    </xf>
    <xf numFmtId="0" fontId="32" fillId="4" borderId="23" xfId="1" applyFont="1" applyFill="1" applyBorder="1" applyAlignment="1" applyProtection="1">
      <alignment horizontal="center" vertical="center"/>
      <protection hidden="1"/>
    </xf>
    <xf numFmtId="0" fontId="32" fillId="4" borderId="36" xfId="1" applyFont="1" applyFill="1" applyBorder="1" applyAlignment="1" applyProtection="1">
      <alignment horizontal="center" vertical="center"/>
      <protection hidden="1"/>
    </xf>
    <xf numFmtId="0" fontId="32" fillId="4" borderId="24" xfId="1" applyFont="1" applyFill="1" applyBorder="1" applyAlignment="1" applyProtection="1">
      <alignment horizontal="center" vertical="center"/>
      <protection hidden="1"/>
    </xf>
    <xf numFmtId="0" fontId="32" fillId="6" borderId="0" xfId="1" applyFont="1" applyFill="1" applyBorder="1" applyAlignment="1" applyProtection="1">
      <alignment horizontal="center" vertical="center"/>
      <protection hidden="1"/>
    </xf>
    <xf numFmtId="0" fontId="37" fillId="4" borderId="0" xfId="1" applyFont="1" applyFill="1" applyBorder="1" applyAlignment="1" applyProtection="1">
      <alignment horizontal="center" vertical="center"/>
      <protection locked="0" hidden="1"/>
    </xf>
    <xf numFmtId="0" fontId="5" fillId="0" borderId="55" xfId="0" applyFont="1" applyBorder="1" applyAlignment="1" applyProtection="1">
      <alignment horizontal="center"/>
      <protection hidden="1"/>
    </xf>
    <xf numFmtId="0" fontId="5" fillId="0" borderId="56" xfId="0" applyFont="1" applyBorder="1" applyAlignment="1" applyProtection="1">
      <alignment horizontal="center"/>
      <protection hidden="1"/>
    </xf>
    <xf numFmtId="0" fontId="12" fillId="0" borderId="0" xfId="0" applyFont="1" applyAlignment="1">
      <alignment horizontal="center" textRotation="9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4" fillId="0" borderId="2" xfId="0" applyFont="1" applyBorder="1" applyAlignment="1" applyProtection="1">
      <alignment horizontal="center"/>
      <protection hidden="1"/>
    </xf>
    <xf numFmtId="0" fontId="34" fillId="0" borderId="3" xfId="0" applyFont="1" applyBorder="1" applyAlignment="1" applyProtection="1">
      <alignment horizontal="center"/>
      <protection hidden="1"/>
    </xf>
    <xf numFmtId="0" fontId="34" fillId="0" borderId="4" xfId="0" applyFont="1" applyBorder="1" applyAlignment="1" applyProtection="1">
      <alignment horizontal="center"/>
      <protection hidden="1"/>
    </xf>
    <xf numFmtId="0" fontId="0" fillId="0" borderId="1" xfId="0" applyBorder="1" applyAlignment="1">
      <alignment horizontal="center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center"/>
      <protection hidden="1"/>
    </xf>
    <xf numFmtId="165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4" fillId="4" borderId="0" xfId="1" applyFont="1" applyFill="1" applyAlignment="1" applyProtection="1">
      <alignment horizontal="center" vertical="center"/>
      <protection locked="0" hidden="1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 textRotation="90"/>
    </xf>
    <xf numFmtId="0" fontId="5" fillId="0" borderId="1" xfId="0" applyFont="1" applyBorder="1" applyAlignment="1" applyProtection="1">
      <alignment horizontal="center" vertical="center"/>
      <protection locked="0"/>
    </xf>
    <xf numFmtId="0" fontId="37" fillId="4" borderId="0" xfId="4" applyFont="1" applyFill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164" fontId="5" fillId="0" borderId="1" xfId="0" applyNumberFormat="1" applyFont="1" applyBorder="1" applyAlignment="1" applyProtection="1">
      <alignment horizontal="center" vertical="center"/>
      <protection hidden="1"/>
    </xf>
    <xf numFmtId="165" fontId="5" fillId="0" borderId="0" xfId="0" applyNumberFormat="1" applyFont="1" applyAlignment="1">
      <alignment horizontal="right" vertical="center" textRotation="90"/>
    </xf>
    <xf numFmtId="165" fontId="5" fillId="0" borderId="0" xfId="0" applyNumberFormat="1" applyFont="1" applyAlignment="1">
      <alignment horizontal="right" vertical="top" textRotation="90"/>
    </xf>
    <xf numFmtId="0" fontId="23" fillId="0" borderId="10" xfId="0" applyFont="1" applyBorder="1" applyAlignment="1" applyProtection="1">
      <alignment horizontal="left" vertical="center"/>
      <protection hidden="1"/>
    </xf>
    <xf numFmtId="0" fontId="5" fillId="0" borderId="15" xfId="0" applyFont="1" applyBorder="1" applyAlignment="1">
      <alignment horizontal="center" vertical="center" wrapText="1"/>
    </xf>
    <xf numFmtId="1" fontId="5" fillId="0" borderId="1" xfId="0" applyNumberFormat="1" applyFont="1" applyBorder="1" applyAlignment="1" applyProtection="1">
      <alignment horizontal="center" vertical="center"/>
      <protection hidden="1"/>
    </xf>
    <xf numFmtId="0" fontId="5" fillId="0" borderId="20" xfId="0" applyFont="1" applyBorder="1" applyAlignment="1" applyProtection="1">
      <alignment horizontal="center" vertical="center"/>
      <protection hidden="1"/>
    </xf>
    <xf numFmtId="0" fontId="0" fillId="0" borderId="17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5" fillId="0" borderId="14" xfId="0" applyFont="1" applyBorder="1" applyAlignment="1" applyProtection="1">
      <alignment horizontal="center" vertical="center" wrapText="1"/>
      <protection hidden="1"/>
    </xf>
    <xf numFmtId="0" fontId="5" fillId="0" borderId="17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2" fillId="0" borderId="1" xfId="0" applyFont="1" applyBorder="1" applyAlignment="1" applyProtection="1">
      <alignment horizontal="left" vertical="center"/>
      <protection hidden="1"/>
    </xf>
    <xf numFmtId="0" fontId="5" fillId="0" borderId="0" xfId="0" applyFont="1" applyAlignment="1">
      <alignment horizontal="left" textRotation="90"/>
    </xf>
    <xf numFmtId="0" fontId="5" fillId="0" borderId="0" xfId="0" applyFont="1" applyAlignment="1">
      <alignment horizontal="right" vertical="center" textRotation="90"/>
    </xf>
    <xf numFmtId="1" fontId="5" fillId="0" borderId="0" xfId="0" applyNumberFormat="1" applyFont="1" applyAlignment="1">
      <alignment horizontal="right" vertical="center" textRotation="90"/>
    </xf>
    <xf numFmtId="0" fontId="5" fillId="0" borderId="0" xfId="0" applyFont="1" applyAlignment="1" applyProtection="1">
      <alignment horizontal="center" vertical="center" textRotation="90" wrapText="1"/>
      <protection hidden="1"/>
    </xf>
    <xf numFmtId="0" fontId="22" fillId="0" borderId="20" xfId="0" applyFont="1" applyBorder="1" applyAlignment="1" applyProtection="1">
      <alignment horizontal="left" vertical="center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14" fillId="4" borderId="0" xfId="1" applyFont="1" applyFill="1" applyBorder="1" applyAlignment="1" applyProtection="1">
      <alignment horizontal="center" vertical="center"/>
      <protection locked="0" hidden="1"/>
    </xf>
    <xf numFmtId="0" fontId="17" fillId="0" borderId="2" xfId="0" applyFont="1" applyBorder="1" applyAlignment="1" applyProtection="1">
      <alignment horizontal="center" vertical="center"/>
      <protection hidden="1"/>
    </xf>
    <xf numFmtId="0" fontId="17" fillId="0" borderId="3" xfId="0" applyFont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center" vertical="center"/>
      <protection hidden="1"/>
    </xf>
    <xf numFmtId="0" fontId="5" fillId="0" borderId="46" xfId="0" applyFont="1" applyBorder="1" applyAlignment="1" applyProtection="1">
      <alignment horizontal="center" vertical="center"/>
      <protection locked="0" hidden="1"/>
    </xf>
    <xf numFmtId="0" fontId="5" fillId="0" borderId="47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 applyProtection="1">
      <alignment horizontal="left"/>
      <protection hidden="1"/>
    </xf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9" xfId="0" applyBorder="1"/>
    <xf numFmtId="0" fontId="0" fillId="0" borderId="67" xfId="0" applyBorder="1"/>
    <xf numFmtId="0" fontId="0" fillId="0" borderId="46" xfId="0" applyBorder="1"/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0" fillId="0" borderId="71" xfId="0" applyBorder="1"/>
    <xf numFmtId="0" fontId="0" fillId="0" borderId="72" xfId="0" applyBorder="1"/>
    <xf numFmtId="0" fontId="0" fillId="0" borderId="73" xfId="0" applyBorder="1"/>
    <xf numFmtId="0" fontId="0" fillId="0" borderId="0" xfId="0" applyAlignment="1">
      <alignment horizontal="center" vertical="center"/>
    </xf>
  </cellXfs>
  <cellStyles count="14">
    <cellStyle name="Hypertextový odkaz" xfId="1" builtinId="8"/>
    <cellStyle name="Hypertextový odkaz 2" xfId="5" xr:uid="{F65F0447-E529-4DFB-B4DA-FC360EF204AD}"/>
    <cellStyle name="Měna" xfId="13" builtinId="4"/>
    <cellStyle name="Normální" xfId="0" builtinId="0"/>
    <cellStyle name="Normální 13" xfId="4" xr:uid="{6ED1C393-B11A-4E09-B945-6763D58C9382}"/>
    <cellStyle name="Normální 2" xfId="2" xr:uid="{4B03FA96-B597-48EB-A05E-BC761B211864}"/>
    <cellStyle name="Normální 2 2" xfId="3" xr:uid="{686F977F-2BC5-4D60-8070-CCAF2C4BEEBF}"/>
    <cellStyle name="Normální 2 2 2" xfId="10" xr:uid="{10418A0A-5EF7-4808-AE54-91397267F3F6}"/>
    <cellStyle name="Normální 2 3" xfId="7" xr:uid="{C8B4991C-FFDA-4A18-9C79-9726E2D593AF}"/>
    <cellStyle name="Normální 2 3 2" xfId="11" xr:uid="{4F332ED9-BEB2-43CD-A538-45E78CA0A0D9}"/>
    <cellStyle name="Normální 2 4" xfId="9" xr:uid="{C9F1C9FB-8519-4E40-9B37-3390A940796B}"/>
    <cellStyle name="Normální 2 5" xfId="8" xr:uid="{97592DC4-B9B3-4D5E-99A6-D0F72FE47BFF}"/>
    <cellStyle name="normální_astin_planA" xfId="12" xr:uid="{122F7012-80BB-4179-B610-C123EED31268}"/>
    <cellStyle name="Procenta 2" xfId="6" xr:uid="{5E0F9B75-5137-4761-A28D-C03F6A9A03BD}"/>
  </cellStyles>
  <dxfs count="196"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right style="thin">
          <color auto="1"/>
        </right>
        <vertical/>
        <horizontal/>
      </border>
    </dxf>
    <dxf>
      <font>
        <b/>
        <i val="0"/>
        <color theme="1"/>
      </font>
      <fill>
        <patternFill>
          <bgColor rgb="FFFFCC99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border>
        <left style="dashed">
          <color auto="1"/>
        </left>
        <right style="dashed">
          <color auto="1"/>
        </right>
        <vertical/>
        <horizontal/>
      </border>
    </dxf>
    <dxf>
      <border>
        <left style="dashed">
          <color auto="1"/>
        </left>
        <right style="dashed">
          <color auto="1"/>
        </right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font>
        <b/>
        <i val="0"/>
        <color auto="1"/>
      </font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font>
        <color theme="1"/>
      </font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 style="thin">
          <color auto="1"/>
        </left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rgb="FF92D050"/>
        </patternFill>
      </fill>
    </dxf>
    <dxf>
      <fill>
        <patternFill>
          <fgColor theme="0"/>
          <bgColor theme="0"/>
        </patternFill>
      </fill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dashed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 style="thin">
          <color auto="1"/>
        </left>
      </border>
    </dxf>
    <dxf>
      <border>
        <bottom style="dashed">
          <color auto="1"/>
        </bottom>
        <vertical/>
        <horizontal/>
      </border>
    </dxf>
    <dxf>
      <border>
        <left style="thin">
          <color auto="1"/>
        </left>
        <right/>
        <top/>
        <vertical/>
        <horizontal/>
      </border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border>
        <left style="thin">
          <color auto="1"/>
        </left>
        <top style="thin">
          <color auto="1"/>
        </top>
        <bottom/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rgb="FF92D050"/>
        </patternFill>
      </fill>
    </dxf>
    <dxf>
      <fill>
        <patternFill>
          <fgColor theme="0"/>
          <bgColor theme="0"/>
        </patternFill>
      </fill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</border>
    </dxf>
    <dxf>
      <border>
        <left style="thin">
          <color auto="1"/>
        </left>
        <top style="thin">
          <color auto="1"/>
        </top>
      </border>
    </dxf>
    <dxf>
      <border>
        <left style="thin">
          <color auto="1"/>
        </left>
        <top style="thin">
          <color auto="1"/>
        </top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right style="dashed">
          <color auto="1"/>
        </right>
      </border>
    </dxf>
    <dxf>
      <border>
        <right style="dashed">
          <color auto="1"/>
        </right>
        <vertical/>
        <horizontal/>
      </border>
    </dxf>
    <dxf>
      <border>
        <right style="dashed">
          <color auto="1"/>
        </right>
      </border>
    </dxf>
    <dxf>
      <border>
        <left style="thin">
          <color auto="1"/>
        </left>
        <vertical/>
        <horizontal/>
      </border>
    </dxf>
    <dxf>
      <border>
        <bottom style="dashed">
          <color auto="1"/>
        </bottom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ill>
        <patternFill>
          <fgColor theme="0"/>
          <bgColor theme="0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microsoft.com/office/2022/11/relationships/FeaturePropertyBag" Target="featurePropertyBag/featurePropertyBag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0/relationships/richValueRel" Target="richData/richValueRel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#REF!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hyperlink" Target="#Smini!L9"/><Relationship Id="rId1" Type="http://schemas.openxmlformats.org/officeDocument/2006/relationships/image" Target="../media/image7.png"/><Relationship Id="rId5" Type="http://schemas.openxmlformats.org/officeDocument/2006/relationships/image" Target="../media/image15.png"/><Relationship Id="rId4" Type="http://schemas.openxmlformats.org/officeDocument/2006/relationships/hyperlink" Target="#&#269;elo!G9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emf"/><Relationship Id="rId3" Type="http://schemas.openxmlformats.org/officeDocument/2006/relationships/image" Target="../media/image17.emf"/><Relationship Id="rId7" Type="http://schemas.openxmlformats.org/officeDocument/2006/relationships/image" Target="../media/image21.emf"/><Relationship Id="rId2" Type="http://schemas.openxmlformats.org/officeDocument/2006/relationships/image" Target="../media/image16.emf"/><Relationship Id="rId1" Type="http://schemas.openxmlformats.org/officeDocument/2006/relationships/image" Target="../media/image7.png"/><Relationship Id="rId6" Type="http://schemas.openxmlformats.org/officeDocument/2006/relationships/image" Target="../media/image20.emf"/><Relationship Id="rId5" Type="http://schemas.openxmlformats.org/officeDocument/2006/relationships/image" Target="../media/image19.emf"/><Relationship Id="rId4" Type="http://schemas.openxmlformats.org/officeDocument/2006/relationships/image" Target="../media/image18.emf"/><Relationship Id="rId9" Type="http://schemas.openxmlformats.org/officeDocument/2006/relationships/image" Target="../media/image2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emf"/><Relationship Id="rId3" Type="http://schemas.openxmlformats.org/officeDocument/2006/relationships/image" Target="../media/image32.emf"/><Relationship Id="rId7" Type="http://schemas.openxmlformats.org/officeDocument/2006/relationships/image" Target="../media/image36.emf"/><Relationship Id="rId2" Type="http://schemas.openxmlformats.org/officeDocument/2006/relationships/image" Target="../media/image31.emf"/><Relationship Id="rId1" Type="http://schemas.openxmlformats.org/officeDocument/2006/relationships/image" Target="../media/image7.png"/><Relationship Id="rId6" Type="http://schemas.openxmlformats.org/officeDocument/2006/relationships/image" Target="../media/image35.emf"/><Relationship Id="rId5" Type="http://schemas.openxmlformats.org/officeDocument/2006/relationships/image" Target="../media/image34.emf"/><Relationship Id="rId4" Type="http://schemas.openxmlformats.org/officeDocument/2006/relationships/image" Target="../media/image33.emf"/><Relationship Id="rId9" Type="http://schemas.openxmlformats.org/officeDocument/2006/relationships/image" Target="../media/image2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6.png"/><Relationship Id="rId1" Type="http://schemas.openxmlformats.org/officeDocument/2006/relationships/image" Target="../media/image4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8.jpeg"/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6.emf"/><Relationship Id="rId7" Type="http://schemas.openxmlformats.org/officeDocument/2006/relationships/image" Target="../media/image30.emf"/><Relationship Id="rId2" Type="http://schemas.openxmlformats.org/officeDocument/2006/relationships/image" Target="../media/image25.emf"/><Relationship Id="rId1" Type="http://schemas.openxmlformats.org/officeDocument/2006/relationships/image" Target="../media/image24.emf"/><Relationship Id="rId6" Type="http://schemas.openxmlformats.org/officeDocument/2006/relationships/image" Target="../media/image29.emf"/><Relationship Id="rId5" Type="http://schemas.openxmlformats.org/officeDocument/2006/relationships/image" Target="../media/image28.emf"/><Relationship Id="rId4" Type="http://schemas.openxmlformats.org/officeDocument/2006/relationships/image" Target="../media/image27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0.emf"/><Relationship Id="rId7" Type="http://schemas.openxmlformats.org/officeDocument/2006/relationships/image" Target="../media/image44.emf"/><Relationship Id="rId2" Type="http://schemas.openxmlformats.org/officeDocument/2006/relationships/image" Target="../media/image39.emf"/><Relationship Id="rId1" Type="http://schemas.openxmlformats.org/officeDocument/2006/relationships/image" Target="../media/image38.emf"/><Relationship Id="rId6" Type="http://schemas.openxmlformats.org/officeDocument/2006/relationships/image" Target="../media/image43.emf"/><Relationship Id="rId5" Type="http://schemas.openxmlformats.org/officeDocument/2006/relationships/image" Target="../media/image42.emf"/><Relationship Id="rId4" Type="http://schemas.openxmlformats.org/officeDocument/2006/relationships/image" Target="../media/image4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3</xdr:col>
      <xdr:colOff>416719</xdr:colOff>
      <xdr:row>2</xdr:row>
      <xdr:rowOff>80962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EA2ACB9-320C-46B6-ADDD-CFABF6D9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5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152400</xdr:colOff>
      <xdr:row>2</xdr:row>
      <xdr:rowOff>142875</xdr:rowOff>
    </xdr:from>
    <xdr:to>
      <xdr:col>13</xdr:col>
      <xdr:colOff>0</xdr:colOff>
      <xdr:row>27</xdr:row>
      <xdr:rowOff>138338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D40297B2-DD82-C017-4EF6-27A7D6559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3025" y="561975"/>
          <a:ext cx="3409949" cy="51961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171450</xdr:rowOff>
        </xdr:to>
        <xdr:sp macro="" textlink="">
          <xdr:nvSpPr>
            <xdr:cNvPr id="5121" name="Check Box 1967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238122</xdr:colOff>
      <xdr:row>0</xdr:row>
      <xdr:rowOff>0</xdr:rowOff>
    </xdr:from>
    <xdr:to>
      <xdr:col>2</xdr:col>
      <xdr:colOff>238122</xdr:colOff>
      <xdr:row>5</xdr:row>
      <xdr:rowOff>135120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BC86FD3-79C2-4AF1-86C3-12BCFE84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2" y="0"/>
          <a:ext cx="0" cy="1030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47971</xdr:colOff>
      <xdr:row>16</xdr:row>
      <xdr:rowOff>48088</xdr:rowOff>
    </xdr:from>
    <xdr:to>
      <xdr:col>2</xdr:col>
      <xdr:colOff>405765</xdr:colOff>
      <xdr:row>18</xdr:row>
      <xdr:rowOff>90768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915AA64-8DCC-46D1-9A26-91DB9E79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221" y="3048463"/>
          <a:ext cx="357794" cy="347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3811</xdr:colOff>
      <xdr:row>1</xdr:row>
      <xdr:rowOff>0</xdr:rowOff>
    </xdr:from>
    <xdr:to>
      <xdr:col>5</xdr:col>
      <xdr:colOff>85726</xdr:colOff>
      <xdr:row>3</xdr:row>
      <xdr:rowOff>112532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569DCDB8-527E-4A7E-BA75-506A6EB5D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1" y="190500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455083</xdr:colOff>
      <xdr:row>21</xdr:row>
      <xdr:rowOff>218780</xdr:rowOff>
    </xdr:from>
    <xdr:to>
      <xdr:col>9</xdr:col>
      <xdr:colOff>264583</xdr:colOff>
      <xdr:row>27</xdr:row>
      <xdr:rowOff>44451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268DCCC-A798-62B4-AE02-9D3AB0BED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9666" y="4208697"/>
          <a:ext cx="4402667" cy="1243837"/>
        </a:xfrm>
        <a:prstGeom prst="rect">
          <a:avLst/>
        </a:prstGeom>
      </xdr:spPr>
    </xdr:pic>
    <xdr:clientData/>
  </xdr:twoCellAnchor>
  <xdr:twoCellAnchor editAs="oneCell">
    <xdr:from>
      <xdr:col>14</xdr:col>
      <xdr:colOff>704851</xdr:colOff>
      <xdr:row>21</xdr:row>
      <xdr:rowOff>104775</xdr:rowOff>
    </xdr:from>
    <xdr:to>
      <xdr:col>18</xdr:col>
      <xdr:colOff>104776</xdr:colOff>
      <xdr:row>27</xdr:row>
      <xdr:rowOff>86740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43BA5FBF-23CB-067F-397C-2E5A38FE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1" y="4067175"/>
          <a:ext cx="2152650" cy="1391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19050</xdr:colOff>
      <xdr:row>21</xdr:row>
      <xdr:rowOff>142876</xdr:rowOff>
    </xdr:from>
    <xdr:to>
      <xdr:col>14</xdr:col>
      <xdr:colOff>95250</xdr:colOff>
      <xdr:row>28</xdr:row>
      <xdr:rowOff>204981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99FDBB8B-D108-7C6D-AB61-63EE4FF30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375" y="4105276"/>
          <a:ext cx="3171825" cy="16623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3811</xdr:colOff>
      <xdr:row>1</xdr:row>
      <xdr:rowOff>0</xdr:rowOff>
    </xdr:from>
    <xdr:to>
      <xdr:col>5</xdr:col>
      <xdr:colOff>85726</xdr:colOff>
      <xdr:row>3</xdr:row>
      <xdr:rowOff>104250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5AEA325-DA32-4348-84FA-0CE99E286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1" y="190500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17</xdr:row>
      <xdr:rowOff>66674</xdr:rowOff>
    </xdr:from>
    <xdr:to>
      <xdr:col>12</xdr:col>
      <xdr:colOff>283022</xdr:colOff>
      <xdr:row>28</xdr:row>
      <xdr:rowOff>132549</xdr:rowOff>
    </xdr:to>
    <xdr:pic>
      <xdr:nvPicPr>
        <xdr:cNvPr id="12" name="Obrázek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6CD74A-3B81-CEB2-53F0-5DCA46269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3352799"/>
          <a:ext cx="3778697" cy="218042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5</xdr:row>
      <xdr:rowOff>70790</xdr:rowOff>
    </xdr:from>
    <xdr:to>
      <xdr:col>13</xdr:col>
      <xdr:colOff>426096</xdr:colOff>
      <xdr:row>17</xdr:row>
      <xdr:rowOff>0</xdr:rowOff>
    </xdr:to>
    <xdr:pic>
      <xdr:nvPicPr>
        <xdr:cNvPr id="15" name="Obrázek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6EE788-38E0-30F1-1AB6-0DE9C3EEA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1089965"/>
          <a:ext cx="4969521" cy="22152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235972</xdr:colOff>
      <xdr:row>32</xdr:row>
      <xdr:rowOff>102409</xdr:rowOff>
    </xdr:from>
    <xdr:to>
      <xdr:col>6</xdr:col>
      <xdr:colOff>238997</xdr:colOff>
      <xdr:row>32</xdr:row>
      <xdr:rowOff>108124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370C1354-8B85-0D35-D7E8-DA290CEC6CBF}"/>
            </a:ext>
          </a:extLst>
        </xdr:cNvPr>
        <xdr:cNvCxnSpPr/>
      </xdr:nvCxnSpPr>
      <xdr:spPr>
        <a:xfrm>
          <a:off x="3036322" y="6627034"/>
          <a:ext cx="288775" cy="571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123825</xdr:colOff>
      <xdr:row>1</xdr:row>
      <xdr:rowOff>0</xdr:rowOff>
    </xdr:from>
    <xdr:to>
      <xdr:col>3</xdr:col>
      <xdr:colOff>871130</xdr:colOff>
      <xdr:row>3</xdr:row>
      <xdr:rowOff>112532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96E1B95-B04F-4088-9A6D-03CC46A3D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90500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646206</xdr:colOff>
      <xdr:row>26</xdr:row>
      <xdr:rowOff>67234</xdr:rowOff>
    </xdr:from>
    <xdr:to>
      <xdr:col>0</xdr:col>
      <xdr:colOff>647774</xdr:colOff>
      <xdr:row>30</xdr:row>
      <xdr:rowOff>169992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E25B5D6B-FEFA-4B4D-8349-C5B55479D489}"/>
            </a:ext>
          </a:extLst>
        </xdr:cNvPr>
        <xdr:cNvCxnSpPr/>
      </xdr:nvCxnSpPr>
      <xdr:spPr>
        <a:xfrm flipH="1" flipV="1">
          <a:off x="646206" y="4967317"/>
          <a:ext cx="1568" cy="86475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22411</xdr:colOff>
          <xdr:row>197</xdr:row>
          <xdr:rowOff>89650</xdr:rowOff>
        </xdr:from>
        <xdr:to>
          <xdr:col>9</xdr:col>
          <xdr:colOff>905062</xdr:colOff>
          <xdr:row>213</xdr:row>
          <xdr:rowOff>134470</xdr:rowOff>
        </xdr:to>
        <xdr:pic>
          <xdr:nvPicPr>
            <xdr:cNvPr id="9" name="Obrázek 8">
              <a:extLst>
                <a:ext uri="{FF2B5EF4-FFF2-40B4-BE49-F238E27FC236}">
                  <a16:creationId xmlns:a16="http://schemas.microsoft.com/office/drawing/2014/main" id="{77282A13-9F88-E96C-2D62-2C8950C1B08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46:$O$66" spid="_x0000_s13345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411" y="43815003"/>
              <a:ext cx="8188886" cy="30928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11206</xdr:colOff>
          <xdr:row>176</xdr:row>
          <xdr:rowOff>56029</xdr:rowOff>
        </xdr:from>
        <xdr:to>
          <xdr:col>10</xdr:col>
          <xdr:colOff>377056</xdr:colOff>
          <xdr:row>197</xdr:row>
          <xdr:rowOff>41014</xdr:rowOff>
        </xdr:to>
        <xdr:pic>
          <xdr:nvPicPr>
            <xdr:cNvPr id="19" name="Obrázek 18">
              <a:extLst>
                <a:ext uri="{FF2B5EF4-FFF2-40B4-BE49-F238E27FC236}">
                  <a16:creationId xmlns:a16="http://schemas.microsoft.com/office/drawing/2014/main" id="{BDD36133-820B-EF73-0DE2-DD14076C165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7:$P$31" spid="_x0000_s133458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1206" y="39489529"/>
              <a:ext cx="8747626" cy="398929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168095</xdr:colOff>
          <xdr:row>220</xdr:row>
          <xdr:rowOff>1</xdr:rowOff>
        </xdr:from>
        <xdr:to>
          <xdr:col>4</xdr:col>
          <xdr:colOff>72506</xdr:colOff>
          <xdr:row>244</xdr:row>
          <xdr:rowOff>109942</xdr:rowOff>
        </xdr:to>
        <xdr:pic>
          <xdr:nvPicPr>
            <xdr:cNvPr id="21" name="Obrázek 20">
              <a:extLst>
                <a:ext uri="{FF2B5EF4-FFF2-40B4-BE49-F238E27FC236}">
                  <a16:creationId xmlns:a16="http://schemas.microsoft.com/office/drawing/2014/main" id="{C77A4C2B-B697-2E57-FFAB-2A35D25F400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$72:$G$95" spid="_x0000_s133459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68095" y="47815501"/>
              <a:ext cx="2741852" cy="468003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235322</xdr:colOff>
          <xdr:row>220</xdr:row>
          <xdr:rowOff>11207</xdr:rowOff>
        </xdr:from>
        <xdr:to>
          <xdr:col>7</xdr:col>
          <xdr:colOff>1520386</xdr:colOff>
          <xdr:row>244</xdr:row>
          <xdr:rowOff>117338</xdr:rowOff>
        </xdr:to>
        <xdr:pic>
          <xdr:nvPicPr>
            <xdr:cNvPr id="22" name="Obrázek 21">
              <a:extLst>
                <a:ext uri="{FF2B5EF4-FFF2-40B4-BE49-F238E27FC236}">
                  <a16:creationId xmlns:a16="http://schemas.microsoft.com/office/drawing/2014/main" id="{B39F56DF-57EC-2ED1-1F6B-93876E0972C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72:$N$95" spid="_x0000_s133460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339351" y="47826707"/>
              <a:ext cx="2749001" cy="468003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123216</xdr:colOff>
          <xdr:row>220</xdr:row>
          <xdr:rowOff>11206</xdr:rowOff>
        </xdr:from>
        <xdr:to>
          <xdr:col>12</xdr:col>
          <xdr:colOff>215523</xdr:colOff>
          <xdr:row>244</xdr:row>
          <xdr:rowOff>156882</xdr:rowOff>
        </xdr:to>
        <xdr:pic>
          <xdr:nvPicPr>
            <xdr:cNvPr id="23" name="Obrázek 22">
              <a:extLst>
                <a:ext uri="{FF2B5EF4-FFF2-40B4-BE49-F238E27FC236}">
                  <a16:creationId xmlns:a16="http://schemas.microsoft.com/office/drawing/2014/main" id="{1E13400B-1E16-8839-2834-784ADCCF517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$100:$G$124" spid="_x0000_s133461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6454540" y="47826706"/>
              <a:ext cx="2653299" cy="471767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1064559</xdr:colOff>
          <xdr:row>254</xdr:row>
          <xdr:rowOff>179296</xdr:rowOff>
        </xdr:from>
        <xdr:to>
          <xdr:col>8</xdr:col>
          <xdr:colOff>461159</xdr:colOff>
          <xdr:row>279</xdr:row>
          <xdr:rowOff>110131</xdr:rowOff>
        </xdr:to>
        <xdr:pic>
          <xdr:nvPicPr>
            <xdr:cNvPr id="38" name="Obrázek 37">
              <a:extLst>
                <a:ext uri="{FF2B5EF4-FFF2-40B4-BE49-F238E27FC236}">
                  <a16:creationId xmlns:a16="http://schemas.microsoft.com/office/drawing/2014/main" id="{7E31F3B4-D51A-E8E4-A079-D8AF4DCAEE5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$128:$G$152" spid="_x0000_s133462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4168588" y="54471796"/>
              <a:ext cx="2623895" cy="4680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22412</xdr:colOff>
          <xdr:row>255</xdr:row>
          <xdr:rowOff>11205</xdr:rowOff>
        </xdr:from>
        <xdr:to>
          <xdr:col>5</xdr:col>
          <xdr:colOff>187618</xdr:colOff>
          <xdr:row>279</xdr:row>
          <xdr:rowOff>117300</xdr:rowOff>
        </xdr:to>
        <xdr:pic>
          <xdr:nvPicPr>
            <xdr:cNvPr id="39" name="Obrázek 38">
              <a:extLst>
                <a:ext uri="{FF2B5EF4-FFF2-40B4-BE49-F238E27FC236}">
                  <a16:creationId xmlns:a16="http://schemas.microsoft.com/office/drawing/2014/main" id="{F512D661-CE8A-B33C-ED41-36ADDCA7BA5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00:$N$124" spid="_x0000_s133463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739588" y="54494205"/>
              <a:ext cx="2658739" cy="4680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9525</xdr:colOff>
      <xdr:row>62</xdr:row>
      <xdr:rowOff>171450</xdr:rowOff>
    </xdr:from>
    <xdr:to>
      <xdr:col>2</xdr:col>
      <xdr:colOff>523875</xdr:colOff>
      <xdr:row>62</xdr:row>
      <xdr:rowOff>171450</xdr:rowOff>
    </xdr:to>
    <xdr:cxnSp macro="">
      <xdr:nvCxnSpPr>
        <xdr:cNvPr id="41" name="Přímá spojnice se šipkou 40">
          <a:extLst>
            <a:ext uri="{FF2B5EF4-FFF2-40B4-BE49-F238E27FC236}">
              <a16:creationId xmlns:a16="http://schemas.microsoft.com/office/drawing/2014/main" id="{69D626D3-3518-EE89-4FB5-6734A2DB73AD}"/>
            </a:ext>
          </a:extLst>
        </xdr:cNvPr>
        <xdr:cNvCxnSpPr/>
      </xdr:nvCxnSpPr>
      <xdr:spPr>
        <a:xfrm flipH="1">
          <a:off x="1162050" y="12982575"/>
          <a:ext cx="5143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63</xdr:row>
      <xdr:rowOff>180975</xdr:rowOff>
    </xdr:from>
    <xdr:to>
      <xdr:col>4</xdr:col>
      <xdr:colOff>0</xdr:colOff>
      <xdr:row>64</xdr:row>
      <xdr:rowOff>0</xdr:rowOff>
    </xdr:to>
    <xdr:cxnSp macro="">
      <xdr:nvCxnSpPr>
        <xdr:cNvPr id="42" name="Přímá spojnice se šipkou 41">
          <a:extLst>
            <a:ext uri="{FF2B5EF4-FFF2-40B4-BE49-F238E27FC236}">
              <a16:creationId xmlns:a16="http://schemas.microsoft.com/office/drawing/2014/main" id="{EE66D407-005F-43E0-AEDA-83E5DCE9BB46}"/>
            </a:ext>
          </a:extLst>
        </xdr:cNvPr>
        <xdr:cNvCxnSpPr/>
      </xdr:nvCxnSpPr>
      <xdr:spPr>
        <a:xfrm flipH="1" flipV="1">
          <a:off x="1152525" y="13182600"/>
          <a:ext cx="1362075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65</xdr:row>
      <xdr:rowOff>0</xdr:rowOff>
    </xdr:from>
    <xdr:to>
      <xdr:col>6</xdr:col>
      <xdr:colOff>9525</xdr:colOff>
      <xdr:row>65</xdr:row>
      <xdr:rowOff>19050</xdr:rowOff>
    </xdr:to>
    <xdr:cxnSp macro="">
      <xdr:nvCxnSpPr>
        <xdr:cNvPr id="44" name="Přímá spojnice se šipkou 43">
          <a:extLst>
            <a:ext uri="{FF2B5EF4-FFF2-40B4-BE49-F238E27FC236}">
              <a16:creationId xmlns:a16="http://schemas.microsoft.com/office/drawing/2014/main" id="{99EE58D3-2AE0-49F7-B100-41FF2520CE97}"/>
            </a:ext>
          </a:extLst>
        </xdr:cNvPr>
        <xdr:cNvCxnSpPr/>
      </xdr:nvCxnSpPr>
      <xdr:spPr>
        <a:xfrm flipH="1" flipV="1">
          <a:off x="1152525" y="13382625"/>
          <a:ext cx="1943100" cy="190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89</xdr:row>
      <xdr:rowOff>0</xdr:rowOff>
    </xdr:from>
    <xdr:to>
      <xdr:col>2</xdr:col>
      <xdr:colOff>352425</xdr:colOff>
      <xdr:row>92</xdr:row>
      <xdr:rowOff>209550</xdr:rowOff>
    </xdr:to>
    <xdr:cxnSp macro="">
      <xdr:nvCxnSpPr>
        <xdr:cNvPr id="47" name="Přímá spojnice se šipkou 46">
          <a:extLst>
            <a:ext uri="{FF2B5EF4-FFF2-40B4-BE49-F238E27FC236}">
              <a16:creationId xmlns:a16="http://schemas.microsoft.com/office/drawing/2014/main" id="{4F371CCF-D078-EB59-1A55-B8C7F011DA03}"/>
            </a:ext>
          </a:extLst>
        </xdr:cNvPr>
        <xdr:cNvCxnSpPr/>
      </xdr:nvCxnSpPr>
      <xdr:spPr>
        <a:xfrm>
          <a:off x="1504950" y="19116675"/>
          <a:ext cx="0" cy="9810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86</xdr:row>
      <xdr:rowOff>9525</xdr:rowOff>
    </xdr:from>
    <xdr:to>
      <xdr:col>2</xdr:col>
      <xdr:colOff>361950</xdr:colOff>
      <xdr:row>88</xdr:row>
      <xdr:rowOff>247650</xdr:rowOff>
    </xdr:to>
    <xdr:cxnSp macro="">
      <xdr:nvCxnSpPr>
        <xdr:cNvPr id="51" name="Přímá spojnice se šipkou 50">
          <a:extLst>
            <a:ext uri="{FF2B5EF4-FFF2-40B4-BE49-F238E27FC236}">
              <a16:creationId xmlns:a16="http://schemas.microsoft.com/office/drawing/2014/main" id="{6B2AFE29-AB47-F468-C387-41525B02E90D}"/>
            </a:ext>
          </a:extLst>
        </xdr:cNvPr>
        <xdr:cNvCxnSpPr/>
      </xdr:nvCxnSpPr>
      <xdr:spPr>
        <a:xfrm flipV="1">
          <a:off x="1504950" y="18354675"/>
          <a:ext cx="9525" cy="7524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94</xdr:row>
      <xdr:rowOff>0</xdr:rowOff>
    </xdr:from>
    <xdr:to>
      <xdr:col>5</xdr:col>
      <xdr:colOff>0</xdr:colOff>
      <xdr:row>94</xdr:row>
      <xdr:rowOff>0</xdr:rowOff>
    </xdr:to>
    <xdr:cxnSp macro="">
      <xdr:nvCxnSpPr>
        <xdr:cNvPr id="53" name="Přímá spojnice se šipkou 52">
          <a:extLst>
            <a:ext uri="{FF2B5EF4-FFF2-40B4-BE49-F238E27FC236}">
              <a16:creationId xmlns:a16="http://schemas.microsoft.com/office/drawing/2014/main" id="{EA66BA47-E9CC-4BA9-9059-99D2BF4B167F}"/>
            </a:ext>
          </a:extLst>
        </xdr:cNvPr>
        <xdr:cNvCxnSpPr/>
      </xdr:nvCxnSpPr>
      <xdr:spPr>
        <a:xfrm>
          <a:off x="1685925" y="20612100"/>
          <a:ext cx="15144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94</xdr:row>
      <xdr:rowOff>28575</xdr:rowOff>
    </xdr:from>
    <xdr:to>
      <xdr:col>11</xdr:col>
      <xdr:colOff>9525</xdr:colOff>
      <xdr:row>94</xdr:row>
      <xdr:rowOff>28575</xdr:rowOff>
    </xdr:to>
    <xdr:cxnSp macro="">
      <xdr:nvCxnSpPr>
        <xdr:cNvPr id="56" name="Přímá spojnice se šipkou 55">
          <a:extLst>
            <a:ext uri="{FF2B5EF4-FFF2-40B4-BE49-F238E27FC236}">
              <a16:creationId xmlns:a16="http://schemas.microsoft.com/office/drawing/2014/main" id="{A2E849F6-F7D5-4A20-8B8E-02B4316D9028}"/>
            </a:ext>
          </a:extLst>
        </xdr:cNvPr>
        <xdr:cNvCxnSpPr/>
      </xdr:nvCxnSpPr>
      <xdr:spPr>
        <a:xfrm>
          <a:off x="7305675" y="20640675"/>
          <a:ext cx="15906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90</xdr:row>
      <xdr:rowOff>9525</xdr:rowOff>
    </xdr:from>
    <xdr:to>
      <xdr:col>8</xdr:col>
      <xdr:colOff>304800</xdr:colOff>
      <xdr:row>92</xdr:row>
      <xdr:rowOff>247650</xdr:rowOff>
    </xdr:to>
    <xdr:cxnSp macro="">
      <xdr:nvCxnSpPr>
        <xdr:cNvPr id="58" name="Přímá spojnice se šipkou 57">
          <a:extLst>
            <a:ext uri="{FF2B5EF4-FFF2-40B4-BE49-F238E27FC236}">
              <a16:creationId xmlns:a16="http://schemas.microsoft.com/office/drawing/2014/main" id="{22EAD253-5AE7-4640-A874-CC9931C9C2A6}"/>
            </a:ext>
          </a:extLst>
        </xdr:cNvPr>
        <xdr:cNvCxnSpPr/>
      </xdr:nvCxnSpPr>
      <xdr:spPr>
        <a:xfrm>
          <a:off x="6619875" y="19383375"/>
          <a:ext cx="0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87</xdr:row>
      <xdr:rowOff>19050</xdr:rowOff>
    </xdr:from>
    <xdr:to>
      <xdr:col>8</xdr:col>
      <xdr:colOff>314325</xdr:colOff>
      <xdr:row>90</xdr:row>
      <xdr:rowOff>0</xdr:rowOff>
    </xdr:to>
    <xdr:cxnSp macro="">
      <xdr:nvCxnSpPr>
        <xdr:cNvPr id="62" name="Přímá spojnice se šipkou 61">
          <a:extLst>
            <a:ext uri="{FF2B5EF4-FFF2-40B4-BE49-F238E27FC236}">
              <a16:creationId xmlns:a16="http://schemas.microsoft.com/office/drawing/2014/main" id="{EB63ABBC-DE01-4464-9BAC-F81D88E0B6DF}"/>
            </a:ext>
          </a:extLst>
        </xdr:cNvPr>
        <xdr:cNvCxnSpPr/>
      </xdr:nvCxnSpPr>
      <xdr:spPr>
        <a:xfrm flipV="1">
          <a:off x="6619875" y="18621375"/>
          <a:ext cx="9525" cy="7524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352425</xdr:colOff>
      <xdr:row>5</xdr:row>
      <xdr:rowOff>38100</xdr:rowOff>
    </xdr:from>
    <xdr:to>
      <xdr:col>14</xdr:col>
      <xdr:colOff>905387</xdr:colOff>
      <xdr:row>23</xdr:row>
      <xdr:rowOff>10067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05D00A0-9087-1167-116F-BAAB8EAA5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181850" y="933450"/>
          <a:ext cx="3667637" cy="38867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158714</xdr:colOff>
      <xdr:row>32</xdr:row>
      <xdr:rowOff>109817</xdr:rowOff>
    </xdr:from>
    <xdr:to>
      <xdr:col>8</xdr:col>
      <xdr:colOff>165972</xdr:colOff>
      <xdr:row>32</xdr:row>
      <xdr:rowOff>115532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6153311C-00F9-4EF3-8D5C-D978F7C4876A}"/>
            </a:ext>
          </a:extLst>
        </xdr:cNvPr>
        <xdr:cNvCxnSpPr/>
      </xdr:nvCxnSpPr>
      <xdr:spPr>
        <a:xfrm>
          <a:off x="3140039" y="6434417"/>
          <a:ext cx="331108" cy="571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123825</xdr:colOff>
      <xdr:row>1</xdr:row>
      <xdr:rowOff>0</xdr:rowOff>
    </xdr:from>
    <xdr:to>
      <xdr:col>5</xdr:col>
      <xdr:colOff>85937</xdr:colOff>
      <xdr:row>3</xdr:row>
      <xdr:rowOff>112532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BD942AD-0A99-400C-B5FA-8B803E656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90500"/>
          <a:ext cx="1720215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750981</xdr:colOff>
      <xdr:row>25</xdr:row>
      <xdr:rowOff>29134</xdr:rowOff>
    </xdr:from>
    <xdr:to>
      <xdr:col>0</xdr:col>
      <xdr:colOff>752549</xdr:colOff>
      <xdr:row>29</xdr:row>
      <xdr:rowOff>131892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0BE78BA7-6B6D-405C-A2A0-9B6E2D2D06F0}"/>
            </a:ext>
          </a:extLst>
        </xdr:cNvPr>
        <xdr:cNvCxnSpPr/>
      </xdr:nvCxnSpPr>
      <xdr:spPr>
        <a:xfrm flipH="1" flipV="1">
          <a:off x="750981" y="5010709"/>
          <a:ext cx="1568" cy="86475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66</xdr:row>
      <xdr:rowOff>228600</xdr:rowOff>
    </xdr:from>
    <xdr:to>
      <xdr:col>11</xdr:col>
      <xdr:colOff>0</xdr:colOff>
      <xdr:row>67</xdr:row>
      <xdr:rowOff>0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71FE0978-9B30-A901-E1D0-E20A8E876EFE}"/>
            </a:ext>
          </a:extLst>
        </xdr:cNvPr>
        <xdr:cNvCxnSpPr/>
      </xdr:nvCxnSpPr>
      <xdr:spPr>
        <a:xfrm flipH="1">
          <a:off x="1543050" y="13639800"/>
          <a:ext cx="3009900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10583</xdr:colOff>
      <xdr:row>93</xdr:row>
      <xdr:rowOff>10583</xdr:rowOff>
    </xdr:from>
    <xdr:to>
      <xdr:col>5</xdr:col>
      <xdr:colOff>3174</xdr:colOff>
      <xdr:row>93</xdr:row>
      <xdr:rowOff>10583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86DAE1A0-C27C-4C3C-8D7C-FFAC8A4A201F}"/>
            </a:ext>
          </a:extLst>
        </xdr:cNvPr>
        <xdr:cNvCxnSpPr/>
      </xdr:nvCxnSpPr>
      <xdr:spPr>
        <a:xfrm flipH="1">
          <a:off x="1968500" y="20330583"/>
          <a:ext cx="701674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93</xdr:row>
      <xdr:rowOff>21167</xdr:rowOff>
    </xdr:from>
    <xdr:to>
      <xdr:col>7</xdr:col>
      <xdr:colOff>10583</xdr:colOff>
      <xdr:row>93</xdr:row>
      <xdr:rowOff>21167</xdr:rowOff>
    </xdr:to>
    <xdr:cxnSp macro="">
      <xdr:nvCxnSpPr>
        <xdr:cNvPr id="11" name="Přímá spojnice se šipkou 10">
          <a:extLst>
            <a:ext uri="{FF2B5EF4-FFF2-40B4-BE49-F238E27FC236}">
              <a16:creationId xmlns:a16="http://schemas.microsoft.com/office/drawing/2014/main" id="{F99318D7-7352-4F73-A19F-F095ED2F24C9}"/>
            </a:ext>
          </a:extLst>
        </xdr:cNvPr>
        <xdr:cNvCxnSpPr/>
      </xdr:nvCxnSpPr>
      <xdr:spPr>
        <a:xfrm>
          <a:off x="2667001" y="20341167"/>
          <a:ext cx="66674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86</xdr:row>
      <xdr:rowOff>0</xdr:rowOff>
    </xdr:from>
    <xdr:to>
      <xdr:col>2</xdr:col>
      <xdr:colOff>190500</xdr:colOff>
      <xdr:row>88</xdr:row>
      <xdr:rowOff>0</xdr:rowOff>
    </xdr:to>
    <xdr:cxnSp macro="">
      <xdr:nvCxnSpPr>
        <xdr:cNvPr id="13" name="Přímá spojnice se šipkou 12">
          <a:extLst>
            <a:ext uri="{FF2B5EF4-FFF2-40B4-BE49-F238E27FC236}">
              <a16:creationId xmlns:a16="http://schemas.microsoft.com/office/drawing/2014/main" id="{D705E639-809F-4D7E-A264-A0A840ED5954}"/>
            </a:ext>
          </a:extLst>
        </xdr:cNvPr>
        <xdr:cNvCxnSpPr/>
      </xdr:nvCxnSpPr>
      <xdr:spPr>
        <a:xfrm flipV="1">
          <a:off x="1735667" y="18415000"/>
          <a:ext cx="0" cy="508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194734</xdr:colOff>
      <xdr:row>84</xdr:row>
      <xdr:rowOff>14816</xdr:rowOff>
    </xdr:from>
    <xdr:to>
      <xdr:col>2</xdr:col>
      <xdr:colOff>194734</xdr:colOff>
      <xdr:row>86</xdr:row>
      <xdr:rowOff>14816</xdr:rowOff>
    </xdr:to>
    <xdr:cxnSp macro="">
      <xdr:nvCxnSpPr>
        <xdr:cNvPr id="17" name="Přímá spojnice se šipkou 16">
          <a:extLst>
            <a:ext uri="{FF2B5EF4-FFF2-40B4-BE49-F238E27FC236}">
              <a16:creationId xmlns:a16="http://schemas.microsoft.com/office/drawing/2014/main" id="{6641FA93-4E49-4CBD-950A-594352AADD30}"/>
            </a:ext>
          </a:extLst>
        </xdr:cNvPr>
        <xdr:cNvCxnSpPr/>
      </xdr:nvCxnSpPr>
      <xdr:spPr>
        <a:xfrm flipV="1">
          <a:off x="1739901" y="17921816"/>
          <a:ext cx="0" cy="508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88</xdr:row>
      <xdr:rowOff>10583</xdr:rowOff>
    </xdr:from>
    <xdr:to>
      <xdr:col>2</xdr:col>
      <xdr:colOff>190500</xdr:colOff>
      <xdr:row>92</xdr:row>
      <xdr:rowOff>0</xdr:rowOff>
    </xdr:to>
    <xdr:cxnSp macro="">
      <xdr:nvCxnSpPr>
        <xdr:cNvPr id="18" name="Přímá spojnice se šipkou 17">
          <a:extLst>
            <a:ext uri="{FF2B5EF4-FFF2-40B4-BE49-F238E27FC236}">
              <a16:creationId xmlns:a16="http://schemas.microsoft.com/office/drawing/2014/main" id="{202D4EB3-3340-4D22-BCB8-5CCB2931CC35}"/>
            </a:ext>
          </a:extLst>
        </xdr:cNvPr>
        <xdr:cNvCxnSpPr/>
      </xdr:nvCxnSpPr>
      <xdr:spPr>
        <a:xfrm>
          <a:off x="1735667" y="18933583"/>
          <a:ext cx="0" cy="113241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10584</xdr:colOff>
      <xdr:row>92</xdr:row>
      <xdr:rowOff>243417</xdr:rowOff>
    </xdr:from>
    <xdr:to>
      <xdr:col>17</xdr:col>
      <xdr:colOff>3175</xdr:colOff>
      <xdr:row>92</xdr:row>
      <xdr:rowOff>243417</xdr:rowOff>
    </xdr:to>
    <xdr:cxnSp macro="">
      <xdr:nvCxnSpPr>
        <xdr:cNvPr id="28" name="Přímá spojnice se šipkou 27">
          <a:extLst>
            <a:ext uri="{FF2B5EF4-FFF2-40B4-BE49-F238E27FC236}">
              <a16:creationId xmlns:a16="http://schemas.microsoft.com/office/drawing/2014/main" id="{4B99976E-8930-4920-9CFF-CD298D208F9F}"/>
            </a:ext>
          </a:extLst>
        </xdr:cNvPr>
        <xdr:cNvCxnSpPr/>
      </xdr:nvCxnSpPr>
      <xdr:spPr>
        <a:xfrm flipH="1">
          <a:off x="1968501" y="26987500"/>
          <a:ext cx="701674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</xdr:colOff>
      <xdr:row>93</xdr:row>
      <xdr:rowOff>1</xdr:rowOff>
    </xdr:from>
    <xdr:to>
      <xdr:col>19</xdr:col>
      <xdr:colOff>10584</xdr:colOff>
      <xdr:row>93</xdr:row>
      <xdr:rowOff>1</xdr:rowOff>
    </xdr:to>
    <xdr:cxnSp macro="">
      <xdr:nvCxnSpPr>
        <xdr:cNvPr id="29" name="Přímá spojnice se šipkou 28">
          <a:extLst>
            <a:ext uri="{FF2B5EF4-FFF2-40B4-BE49-F238E27FC236}">
              <a16:creationId xmlns:a16="http://schemas.microsoft.com/office/drawing/2014/main" id="{00BB2F87-DD57-4047-B9C9-C8B63EDAA8E1}"/>
            </a:ext>
          </a:extLst>
        </xdr:cNvPr>
        <xdr:cNvCxnSpPr/>
      </xdr:nvCxnSpPr>
      <xdr:spPr>
        <a:xfrm>
          <a:off x="2667002" y="26998084"/>
          <a:ext cx="66674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201083</xdr:colOff>
      <xdr:row>86</xdr:row>
      <xdr:rowOff>10584</xdr:rowOff>
    </xdr:from>
    <xdr:to>
      <xdr:col>14</xdr:col>
      <xdr:colOff>201083</xdr:colOff>
      <xdr:row>88</xdr:row>
      <xdr:rowOff>0</xdr:rowOff>
    </xdr:to>
    <xdr:cxnSp macro="">
      <xdr:nvCxnSpPr>
        <xdr:cNvPr id="30" name="Přímá spojnice se šipkou 29">
          <a:extLst>
            <a:ext uri="{FF2B5EF4-FFF2-40B4-BE49-F238E27FC236}">
              <a16:creationId xmlns:a16="http://schemas.microsoft.com/office/drawing/2014/main" id="{9D6C722A-B10C-4874-9623-2B2FBD4EC930}"/>
            </a:ext>
          </a:extLst>
        </xdr:cNvPr>
        <xdr:cNvCxnSpPr/>
      </xdr:nvCxnSpPr>
      <xdr:spPr>
        <a:xfrm flipV="1">
          <a:off x="1746250" y="25167167"/>
          <a:ext cx="0" cy="49741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205317</xdr:colOff>
      <xdr:row>83</xdr:row>
      <xdr:rowOff>243417</xdr:rowOff>
    </xdr:from>
    <xdr:to>
      <xdr:col>14</xdr:col>
      <xdr:colOff>205317</xdr:colOff>
      <xdr:row>85</xdr:row>
      <xdr:rowOff>243417</xdr:rowOff>
    </xdr:to>
    <xdr:cxnSp macro="">
      <xdr:nvCxnSpPr>
        <xdr:cNvPr id="31" name="Přímá spojnice se šipkou 30">
          <a:extLst>
            <a:ext uri="{FF2B5EF4-FFF2-40B4-BE49-F238E27FC236}">
              <a16:creationId xmlns:a16="http://schemas.microsoft.com/office/drawing/2014/main" id="{5891964C-4388-4558-BBE4-38C1D18D0912}"/>
            </a:ext>
          </a:extLst>
        </xdr:cNvPr>
        <xdr:cNvCxnSpPr/>
      </xdr:nvCxnSpPr>
      <xdr:spPr>
        <a:xfrm flipV="1">
          <a:off x="1750484" y="24638000"/>
          <a:ext cx="0" cy="508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201083</xdr:colOff>
      <xdr:row>88</xdr:row>
      <xdr:rowOff>21167</xdr:rowOff>
    </xdr:from>
    <xdr:to>
      <xdr:col>14</xdr:col>
      <xdr:colOff>201083</xdr:colOff>
      <xdr:row>92</xdr:row>
      <xdr:rowOff>6351</xdr:rowOff>
    </xdr:to>
    <xdr:cxnSp macro="">
      <xdr:nvCxnSpPr>
        <xdr:cNvPr id="32" name="Přímá spojnice se šipkou 31">
          <a:extLst>
            <a:ext uri="{FF2B5EF4-FFF2-40B4-BE49-F238E27FC236}">
              <a16:creationId xmlns:a16="http://schemas.microsoft.com/office/drawing/2014/main" id="{9CE76BA6-9FDF-49C0-AFD2-E2F2E2657CC9}"/>
            </a:ext>
          </a:extLst>
        </xdr:cNvPr>
        <xdr:cNvCxnSpPr/>
      </xdr:nvCxnSpPr>
      <xdr:spPr>
        <a:xfrm>
          <a:off x="1746250" y="25685750"/>
          <a:ext cx="0" cy="106468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263</xdr:row>
          <xdr:rowOff>54429</xdr:rowOff>
        </xdr:from>
        <xdr:to>
          <xdr:col>22</xdr:col>
          <xdr:colOff>200025</xdr:colOff>
          <xdr:row>289</xdr:row>
          <xdr:rowOff>114527</xdr:rowOff>
        </xdr:to>
        <xdr:pic>
          <xdr:nvPicPr>
            <xdr:cNvPr id="8" name="Obrázek 7">
              <a:extLst>
                <a:ext uri="{FF2B5EF4-FFF2-40B4-BE49-F238E27FC236}">
                  <a16:creationId xmlns:a16="http://schemas.microsoft.com/office/drawing/2014/main" id="{8B3AE1AD-ED5D-56AA-734E-3E1FEE2BE96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7:$W$31" spid="_x0000_s13447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57569554"/>
              <a:ext cx="10414000" cy="50130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306</xdr:row>
          <xdr:rowOff>31750</xdr:rowOff>
        </xdr:from>
        <xdr:to>
          <xdr:col>23</xdr:col>
          <xdr:colOff>0</xdr:colOff>
          <xdr:row>335</xdr:row>
          <xdr:rowOff>57150</xdr:rowOff>
        </xdr:to>
        <xdr:pic>
          <xdr:nvPicPr>
            <xdr:cNvPr id="19" name="Obrázek 18">
              <a:extLst>
                <a:ext uri="{FF2B5EF4-FFF2-40B4-BE49-F238E27FC236}">
                  <a16:creationId xmlns:a16="http://schemas.microsoft.com/office/drawing/2014/main" id="{A1B1006A-6145-4603-EBEE-FCE4EAF9817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42:$W$68" spid="_x0000_s134473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0" y="66249550"/>
              <a:ext cx="11096625" cy="5549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</xdr:colOff>
          <xdr:row>348</xdr:row>
          <xdr:rowOff>1</xdr:rowOff>
        </xdr:from>
        <xdr:to>
          <xdr:col>6</xdr:col>
          <xdr:colOff>59167</xdr:colOff>
          <xdr:row>376</xdr:row>
          <xdr:rowOff>150904</xdr:rowOff>
        </xdr:to>
        <xdr:pic>
          <xdr:nvPicPr>
            <xdr:cNvPr id="49" name="Obrázek 48">
              <a:extLst>
                <a:ext uri="{FF2B5EF4-FFF2-40B4-BE49-F238E27FC236}">
                  <a16:creationId xmlns:a16="http://schemas.microsoft.com/office/drawing/2014/main" id="{088A87C0-0B6E-4468-C759-25286CCC00A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$72:$J$94" spid="_x0000_s134474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" y="74131715"/>
              <a:ext cx="2973816" cy="548490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176894</xdr:colOff>
          <xdr:row>348</xdr:row>
          <xdr:rowOff>40822</xdr:rowOff>
        </xdr:from>
        <xdr:to>
          <xdr:col>15</xdr:col>
          <xdr:colOff>302682</xdr:colOff>
          <xdr:row>377</xdr:row>
          <xdr:rowOff>1225</xdr:rowOff>
        </xdr:to>
        <xdr:pic>
          <xdr:nvPicPr>
            <xdr:cNvPr id="55" name="Obrázek 54">
              <a:extLst>
                <a:ext uri="{FF2B5EF4-FFF2-40B4-BE49-F238E27FC236}">
                  <a16:creationId xmlns:a16="http://schemas.microsoft.com/office/drawing/2014/main" id="{C92E1EA7-7C8E-8A66-17A9-F5F44A780AC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N$72:$V$94" spid="_x0000_s134475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497037" y="74172536"/>
              <a:ext cx="3543902" cy="548490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585109</xdr:colOff>
          <xdr:row>348</xdr:row>
          <xdr:rowOff>54429</xdr:rowOff>
        </xdr:from>
        <xdr:to>
          <xdr:col>22</xdr:col>
          <xdr:colOff>449449</xdr:colOff>
          <xdr:row>377</xdr:row>
          <xdr:rowOff>40822</xdr:rowOff>
        </xdr:to>
        <xdr:pic>
          <xdr:nvPicPr>
            <xdr:cNvPr id="56" name="Obrázek 55">
              <a:extLst>
                <a:ext uri="{FF2B5EF4-FFF2-40B4-BE49-F238E27FC236}">
                  <a16:creationId xmlns:a16="http://schemas.microsoft.com/office/drawing/2014/main" id="{4802828B-892F-AA3B-AC2B-DD6B7F2A021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$99:$J$121" spid="_x0000_s134476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7266216" y="74186143"/>
              <a:ext cx="3121890" cy="551089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108494</xdr:colOff>
          <xdr:row>386</xdr:row>
          <xdr:rowOff>108494</xdr:rowOff>
        </xdr:from>
        <xdr:to>
          <xdr:col>9</xdr:col>
          <xdr:colOff>253274</xdr:colOff>
          <xdr:row>417</xdr:row>
          <xdr:rowOff>17054</xdr:rowOff>
        </xdr:to>
        <xdr:pic>
          <xdr:nvPicPr>
            <xdr:cNvPr id="57" name="Obrázek 56">
              <a:extLst>
                <a:ext uri="{FF2B5EF4-FFF2-40B4-BE49-F238E27FC236}">
                  <a16:creationId xmlns:a16="http://schemas.microsoft.com/office/drawing/2014/main" id="{DA9EE41D-F778-3EE0-EF53-F06FB24D1AF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N$99:$V$121" spid="_x0000_s134477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108494" y="81665354"/>
              <a:ext cx="4137660" cy="581406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215446</xdr:colOff>
          <xdr:row>386</xdr:row>
          <xdr:rowOff>106588</xdr:rowOff>
        </xdr:from>
        <xdr:to>
          <xdr:col>17</xdr:col>
          <xdr:colOff>261374</xdr:colOff>
          <xdr:row>416</xdr:row>
          <xdr:rowOff>188232</xdr:rowOff>
        </xdr:to>
        <xdr:pic>
          <xdr:nvPicPr>
            <xdr:cNvPr id="58" name="Obrázek 57">
              <a:extLst>
                <a:ext uri="{FF2B5EF4-FFF2-40B4-BE49-F238E27FC236}">
                  <a16:creationId xmlns:a16="http://schemas.microsoft.com/office/drawing/2014/main" id="{31C7C99B-072D-E64D-DD71-3174935E84C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$126:$J$148" spid="_x0000_s134478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4739821" y="81053213"/>
              <a:ext cx="3332053" cy="57966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3</xdr:col>
      <xdr:colOff>0</xdr:colOff>
      <xdr:row>65</xdr:row>
      <xdr:rowOff>9525</xdr:rowOff>
    </xdr:from>
    <xdr:to>
      <xdr:col>5</xdr:col>
      <xdr:colOff>9525</xdr:colOff>
      <xdr:row>65</xdr:row>
      <xdr:rowOff>9525</xdr:rowOff>
    </xdr:to>
    <xdr:cxnSp macro="">
      <xdr:nvCxnSpPr>
        <xdr:cNvPr id="60" name="Přímá spojnice se šipkou 59">
          <a:extLst>
            <a:ext uri="{FF2B5EF4-FFF2-40B4-BE49-F238E27FC236}">
              <a16:creationId xmlns:a16="http://schemas.microsoft.com/office/drawing/2014/main" id="{4879651E-8E2A-47A5-97B6-D061CC94635F}"/>
            </a:ext>
          </a:extLst>
        </xdr:cNvPr>
        <xdr:cNvCxnSpPr/>
      </xdr:nvCxnSpPr>
      <xdr:spPr>
        <a:xfrm flipH="1">
          <a:off x="1543050" y="13230225"/>
          <a:ext cx="79057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66</xdr:row>
      <xdr:rowOff>0</xdr:rowOff>
    </xdr:from>
    <xdr:to>
      <xdr:col>8</xdr:col>
      <xdr:colOff>9525</xdr:colOff>
      <xdr:row>66</xdr:row>
      <xdr:rowOff>9525</xdr:rowOff>
    </xdr:to>
    <xdr:cxnSp macro="">
      <xdr:nvCxnSpPr>
        <xdr:cNvPr id="62" name="Přímá spojnice se šipkou 61">
          <a:extLst>
            <a:ext uri="{FF2B5EF4-FFF2-40B4-BE49-F238E27FC236}">
              <a16:creationId xmlns:a16="http://schemas.microsoft.com/office/drawing/2014/main" id="{E001B885-72EC-47CB-8B00-2AA02897B461}"/>
            </a:ext>
          </a:extLst>
        </xdr:cNvPr>
        <xdr:cNvCxnSpPr/>
      </xdr:nvCxnSpPr>
      <xdr:spPr>
        <a:xfrm flipH="1" flipV="1">
          <a:off x="1552575" y="13411200"/>
          <a:ext cx="1762125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352425</xdr:colOff>
      <xdr:row>4</xdr:row>
      <xdr:rowOff>161925</xdr:rowOff>
    </xdr:from>
    <xdr:to>
      <xdr:col>22</xdr:col>
      <xdr:colOff>343412</xdr:colOff>
      <xdr:row>23</xdr:row>
      <xdr:rowOff>143417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A945D37-6D60-4882-B07F-406F9EDBD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953250" y="866775"/>
          <a:ext cx="3667637" cy="38867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</xdr:row>
      <xdr:rowOff>0</xdr:rowOff>
    </xdr:from>
    <xdr:to>
      <xdr:col>23</xdr:col>
      <xdr:colOff>219701</xdr:colOff>
      <xdr:row>17</xdr:row>
      <xdr:rowOff>432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C9BF3F3-1D39-9D54-5324-CE3FC1189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0200" y="200025"/>
          <a:ext cx="4486901" cy="3096057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</xdr:row>
      <xdr:rowOff>0</xdr:rowOff>
    </xdr:from>
    <xdr:to>
      <xdr:col>27</xdr:col>
      <xdr:colOff>295571</xdr:colOff>
      <xdr:row>9</xdr:row>
      <xdr:rowOff>124062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DCDBBEA-B89C-6464-BFE1-C7BE6FD8C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7000" y="200025"/>
          <a:ext cx="2124371" cy="16956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72</xdr:row>
          <xdr:rowOff>228600</xdr:rowOff>
        </xdr:from>
        <xdr:to>
          <xdr:col>10</xdr:col>
          <xdr:colOff>923925</xdr:colOff>
          <xdr:row>76</xdr:row>
          <xdr:rowOff>66675</xdr:rowOff>
        </xdr:to>
        <xdr:sp macro="" textlink="">
          <xdr:nvSpPr>
            <xdr:cNvPr id="89394" name="Object 6450" hidden="1">
              <a:extLst>
                <a:ext uri="{63B3BB69-23CF-44E3-9099-C40C66FF867C}">
                  <a14:compatExt spid="_x0000_s89394"/>
                </a:ext>
                <a:ext uri="{FF2B5EF4-FFF2-40B4-BE49-F238E27FC236}">
                  <a16:creationId xmlns:a16="http://schemas.microsoft.com/office/drawing/2014/main" id="{00000000-0008-0000-0700-0000325D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1</xdr:row>
      <xdr:rowOff>0</xdr:rowOff>
    </xdr:from>
    <xdr:to>
      <xdr:col>4</xdr:col>
      <xdr:colOff>72813</xdr:colOff>
      <xdr:row>3</xdr:row>
      <xdr:rowOff>34903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5F81AE3-50AB-45B2-A63B-FD52202D3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90500"/>
          <a:ext cx="1720215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603873</xdr:colOff>
      <xdr:row>24</xdr:row>
      <xdr:rowOff>35484</xdr:rowOff>
    </xdr:from>
    <xdr:to>
      <xdr:col>0</xdr:col>
      <xdr:colOff>605441</xdr:colOff>
      <xdr:row>28</xdr:row>
      <xdr:rowOff>138242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0215AEBF-9D1B-4065-AA60-32C0A175D8C9}"/>
            </a:ext>
          </a:extLst>
        </xdr:cNvPr>
        <xdr:cNvCxnSpPr/>
      </xdr:nvCxnSpPr>
      <xdr:spPr>
        <a:xfrm flipH="1" flipV="1">
          <a:off x="603873" y="4554567"/>
          <a:ext cx="1568" cy="86475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1185335</xdr:colOff>
      <xdr:row>3</xdr:row>
      <xdr:rowOff>63499</xdr:rowOff>
    </xdr:from>
    <xdr:to>
      <xdr:col>10</xdr:col>
      <xdr:colOff>233087</xdr:colOff>
      <xdr:row>21</xdr:row>
      <xdr:rowOff>71967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2084EEBC-3250-3847-E171-FBC362719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5835" y="582082"/>
          <a:ext cx="2313135" cy="347133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objednavky@demos-trade.com" TargetMode="External"/><Relationship Id="rId1" Type="http://schemas.openxmlformats.org/officeDocument/2006/relationships/hyperlink" Target="mailto:objednavky@demos-trade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7.emf"/><Relationship Id="rId4" Type="http://schemas.openxmlformats.org/officeDocument/2006/relationships/package" Target="../embeddings/Microsoft_Excel_Worksheet.xls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B1F3B-9C81-4A8D-B597-0CE1ABE673E7}">
  <sheetPr codeName="List1"/>
  <dimension ref="A1:O30"/>
  <sheetViews>
    <sheetView showGridLines="0" showRowColHeaders="0" tabSelected="1" workbookViewId="0">
      <selection activeCell="L2" sqref="L2:M2"/>
    </sheetView>
  </sheetViews>
  <sheetFormatPr defaultColWidth="0" defaultRowHeight="15" zeroHeight="1" x14ac:dyDescent="0.25"/>
  <cols>
    <col min="1" max="1" width="9.140625" customWidth="1"/>
    <col min="2" max="2" width="9.7109375" customWidth="1"/>
    <col min="3" max="3" width="10.7109375" customWidth="1"/>
    <col min="4" max="4" width="8.85546875" customWidth="1"/>
    <col min="5" max="11" width="9.140625" customWidth="1"/>
    <col min="12" max="12" width="16.7109375" customWidth="1"/>
    <col min="13" max="13" width="9.140625" customWidth="1"/>
    <col min="14" max="16384" width="9.140625" hidden="1"/>
  </cols>
  <sheetData>
    <row r="1" spans="1:13" ht="15.75" customHeight="1" x14ac:dyDescent="0.25"/>
    <row r="2" spans="1:13" ht="25.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5" t="str">
        <f>Překlady!C118</f>
        <v>Következő</v>
      </c>
      <c r="M2" s="285"/>
    </row>
    <row r="3" spans="1:13" x14ac:dyDescent="0.25"/>
    <row r="4" spans="1:13" x14ac:dyDescent="0.25"/>
    <row r="5" spans="1:13" x14ac:dyDescent="0.25"/>
    <row r="6" spans="1:13" x14ac:dyDescent="0.25"/>
    <row r="7" spans="1:13" x14ac:dyDescent="0.25"/>
    <row r="8" spans="1:13" x14ac:dyDescent="0.25"/>
    <row r="9" spans="1:13" x14ac:dyDescent="0.25"/>
    <row r="10" spans="1:13" x14ac:dyDescent="0.25"/>
    <row r="11" spans="1:13" ht="46.5" x14ac:dyDescent="0.7">
      <c r="B11" s="286" t="s">
        <v>0</v>
      </c>
      <c r="C11" s="286"/>
      <c r="D11" s="286"/>
      <c r="E11" s="286"/>
      <c r="F11" s="286"/>
      <c r="G11" s="286"/>
    </row>
    <row r="12" spans="1:13" x14ac:dyDescent="0.25"/>
    <row r="13" spans="1:13" x14ac:dyDescent="0.25"/>
    <row r="14" spans="1:13" ht="15" customHeight="1" x14ac:dyDescent="0.25">
      <c r="B14" s="287" t="str">
        <f>Překlady!C57</f>
        <v>Konfigurátor a StrongMax és StrongMini frontok és furatok kiszámításához 18 mm-es fiókalj esetében</v>
      </c>
      <c r="C14" s="287"/>
      <c r="D14" s="287"/>
      <c r="E14" s="287"/>
      <c r="F14" s="287"/>
      <c r="G14" s="287"/>
      <c r="H14" s="8"/>
    </row>
    <row r="15" spans="1:13" x14ac:dyDescent="0.25">
      <c r="B15" s="287"/>
      <c r="C15" s="287"/>
      <c r="D15" s="287"/>
      <c r="E15" s="287"/>
      <c r="F15" s="287"/>
      <c r="G15" s="287"/>
      <c r="H15" s="8"/>
    </row>
    <row r="16" spans="1:13" x14ac:dyDescent="0.25"/>
    <row r="17" spans="1:15" x14ac:dyDescent="0.25"/>
    <row r="18" spans="1:15" x14ac:dyDescent="0.25"/>
    <row r="19" spans="1:15" x14ac:dyDescent="0.25"/>
    <row r="20" spans="1:15" ht="18.75" x14ac:dyDescent="0.3">
      <c r="B20" s="288"/>
      <c r="C20" s="288"/>
      <c r="D20" s="288"/>
      <c r="E20" s="288"/>
      <c r="F20" s="288"/>
      <c r="G20" s="288"/>
      <c r="H20" s="288"/>
    </row>
    <row r="21" spans="1:15" x14ac:dyDescent="0.25"/>
    <row r="22" spans="1:15" x14ac:dyDescent="0.25"/>
    <row r="23" spans="1:15" x14ac:dyDescent="0.25"/>
    <row r="24" spans="1:15" x14ac:dyDescent="0.25"/>
    <row r="25" spans="1:15" x14ac:dyDescent="0.25"/>
    <row r="26" spans="1:15" x14ac:dyDescent="0.25"/>
    <row r="27" spans="1:15" x14ac:dyDescent="0.25"/>
    <row r="28" spans="1:15" x14ac:dyDescent="0.25">
      <c r="A28" t="str">
        <f>Překlady!C48</f>
        <v>1.3 - es változat</v>
      </c>
    </row>
    <row r="29" spans="1:15" x14ac:dyDescent="0.25"/>
    <row r="30" spans="1:15" hidden="1" x14ac:dyDescent="0.25">
      <c r="O30" s="14">
        <v>4</v>
      </c>
    </row>
  </sheetData>
  <sheetProtection algorithmName="SHA-512" hashValue="Tvd6/tXl72y+tnmHKKDVwzn+bhWf28a0ySDN4CYSedB1a52js62FW7+RkUPpe8CmcmSRj537IJTPJwd7khApnA==" saltValue="xqEWTEk/yeC5ArKvVyuLfA==" spinCount="100000" sheet="1" selectLockedCells="1"/>
  <mergeCells count="4">
    <mergeCell ref="L2:M2"/>
    <mergeCell ref="B11:G11"/>
    <mergeCell ref="B14:G15"/>
    <mergeCell ref="B20:H20"/>
  </mergeCells>
  <dataValidations count="1">
    <dataValidation type="list" allowBlank="1" showInputMessage="1" showErrorMessage="1" sqref="O30" xr:uid="{50B2EFC0-85AC-48A0-A4DB-DA90D4088F2A}">
      <formula1>"1,2,3,4,5,6"</formula1>
    </dataValidation>
  </dataValidations>
  <hyperlinks>
    <hyperlink ref="L2:M2" location="Zakaznik!A1" display="Zakaznik!A1" xr:uid="{2CC3D827-5FB9-4535-ACEB-E01843722914}"/>
  </hyperlink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B376-F92D-4687-97CF-97E845880A95}">
  <sheetPr codeName="List11"/>
  <dimension ref="A1:I24"/>
  <sheetViews>
    <sheetView workbookViewId="0"/>
  </sheetViews>
  <sheetFormatPr defaultRowHeight="15" x14ac:dyDescent="0.25"/>
  <cols>
    <col min="1" max="1" width="10.42578125" bestFit="1" customWidth="1"/>
    <col min="8" max="9" width="18.28515625" bestFit="1" customWidth="1"/>
  </cols>
  <sheetData>
    <row r="1" spans="1:9" x14ac:dyDescent="0.25">
      <c r="A1">
        <f>IF(B1=" ",0,1)</f>
        <v>1</v>
      </c>
      <c r="B1" t="str">
        <f>vnitřní!E42</f>
        <v>374233</v>
      </c>
      <c r="C1" s="2">
        <f>vnitřní!J42</f>
        <v>4</v>
      </c>
      <c r="H1" t="str">
        <f>IFERROR((VLOOKUP(1,$A$1:$C$24,2,0)),"")</f>
        <v>374233</v>
      </c>
      <c r="I1">
        <f>IFERROR((VLOOKUP(1,$A$1:$C$24,3,0)),"")</f>
        <v>4</v>
      </c>
    </row>
    <row r="2" spans="1:9" x14ac:dyDescent="0.25">
      <c r="A2">
        <f>IF(C2&gt;0,MAX($A$1:A1)+1,0)</f>
        <v>2</v>
      </c>
      <c r="B2" t="str">
        <f>TRIM(vnitřní!E44)</f>
        <v/>
      </c>
      <c r="C2" s="2" t="str">
        <f>vnitřní!J44</f>
        <v/>
      </c>
      <c r="H2" t="str">
        <f>IFERROR((VLOOKUP(2,$A$1:$C$24,2,0)),"")</f>
        <v/>
      </c>
      <c r="I2" t="str">
        <f>IFERROR((VLOOKUP(2,$A$1:$C$24,3,0)),"")</f>
        <v/>
      </c>
    </row>
    <row r="3" spans="1:9" x14ac:dyDescent="0.25">
      <c r="A3">
        <f>IF(OR(C3&lt;1,C3=""),0,MAX($A$1:A2)+1)</f>
        <v>0</v>
      </c>
      <c r="B3" t="str">
        <f>TRIM(vnitřní!E45)</f>
        <v/>
      </c>
      <c r="C3" s="2" t="str">
        <f>vnitřní!J45</f>
        <v/>
      </c>
      <c r="H3" t="str">
        <f>IFERROR((VLOOKUP(3,$A$1:$C$24,2,0)),"")</f>
        <v/>
      </c>
      <c r="I3">
        <f>IFERROR((VLOOKUP(3,$A$1:$C$24,3,0)),"")</f>
        <v>1</v>
      </c>
    </row>
    <row r="4" spans="1:9" x14ac:dyDescent="0.25">
      <c r="A4">
        <f>IF(OR(C4&lt;1,C4=""),0,MAX($A$1:A3)+1)</f>
        <v>0</v>
      </c>
      <c r="B4" t="str">
        <f>vnitřní!E46</f>
        <v/>
      </c>
      <c r="C4" s="2" t="str">
        <f>vnitřní!J46</f>
        <v/>
      </c>
      <c r="H4" t="str">
        <f>IFERROR((VLOOKUP(4,$A$1:$C$24,2,0)),"")</f>
        <v/>
      </c>
      <c r="I4">
        <f>IFERROR((VLOOKUP(4,$A$1:$C$24,3,0)),"")</f>
        <v>1</v>
      </c>
    </row>
    <row r="5" spans="1:9" x14ac:dyDescent="0.25">
      <c r="A5">
        <f>IF(OR(C5&lt;1,C5=""),0,MAX($A$1:A4)+1)</f>
        <v>0</v>
      </c>
      <c r="B5" t="str">
        <f>vnitřní!E47</f>
        <v/>
      </c>
      <c r="C5" s="2" t="str">
        <f>vnitřní!J47</f>
        <v/>
      </c>
      <c r="H5" t="str">
        <f>IFERROR((VLOOKUP(5,$A$1:$C$24,2,0)),"")</f>
        <v/>
      </c>
      <c r="I5" t="str">
        <f>IFERROR((VLOOKUP(5,$A$1:$C$24,3,0)),"")</f>
        <v/>
      </c>
    </row>
    <row r="6" spans="1:9" x14ac:dyDescent="0.25">
      <c r="A6">
        <f>IF(OR(C6&lt;1,C6=""),0,MAX($A$1:A5)+1)</f>
        <v>0</v>
      </c>
      <c r="B6" t="str">
        <f>vnitřní!E48</f>
        <v/>
      </c>
      <c r="C6" s="2" t="str">
        <f>vnitřní!J48</f>
        <v/>
      </c>
      <c r="H6" t="str">
        <f>IFERROR((VLOOKUP(6,$A$1:$C$24,2,0)),"")</f>
        <v/>
      </c>
      <c r="I6" t="str">
        <f>IFERROR((VLOOKUP(6,$A$1:$C$24,3,0)),"")</f>
        <v/>
      </c>
    </row>
    <row r="7" spans="1:9" x14ac:dyDescent="0.25">
      <c r="A7">
        <f>IF(OR(C7&lt;1,C7=""),0,MAX($A$1:A6)+1)</f>
        <v>3</v>
      </c>
      <c r="B7" t="str">
        <f>vnitřní!E50</f>
        <v/>
      </c>
      <c r="C7" s="2">
        <f>vnitřní!J50</f>
        <v>1</v>
      </c>
      <c r="H7" t="str">
        <f>IFERROR((VLOOKUP(7,$A$1:$C$24,2,0)),"")</f>
        <v/>
      </c>
      <c r="I7" t="str">
        <f>IFERROR((VLOOKUP(7,$A$1:$C$24,3,0)),"")</f>
        <v/>
      </c>
    </row>
    <row r="8" spans="1:9" x14ac:dyDescent="0.25">
      <c r="A8">
        <f>IF(OR(C8&lt;1,C8=""),0,MAX($A$1:A7)+1)</f>
        <v>4</v>
      </c>
      <c r="B8" t="str">
        <f>vnitřní!E51</f>
        <v/>
      </c>
      <c r="C8" s="2">
        <f>vnitřní!J51</f>
        <v>1</v>
      </c>
      <c r="H8" t="str">
        <f>IFERROR((VLOOKUP(8,$A$1:$C$24,2,0)),"")</f>
        <v/>
      </c>
      <c r="I8" t="str">
        <f>IFERROR((VLOOKUP(8,$A$1:$C$24,3,0)),"")</f>
        <v/>
      </c>
    </row>
    <row r="9" spans="1:9" x14ac:dyDescent="0.25">
      <c r="A9">
        <f>IF(OR(C9&lt;1,C9=""),0,MAX($A$1:A8)+1)</f>
        <v>0</v>
      </c>
      <c r="B9" t="str">
        <f>vnitřní!E53</f>
        <v/>
      </c>
      <c r="C9" s="2" t="str">
        <f>vnitřní!J53</f>
        <v/>
      </c>
      <c r="H9" t="str">
        <f>IFERROR((VLOOKUP(9,$A$1:$C$24,2,0)),"")</f>
        <v/>
      </c>
      <c r="I9" t="str">
        <f>IFERROR((VLOOKUP(9,$A$1:$C$24,3,0)),"")</f>
        <v/>
      </c>
    </row>
    <row r="10" spans="1:9" x14ac:dyDescent="0.25">
      <c r="A10">
        <f>IF(OR(C10&lt;1,C10=""),0,MAX($A$1:A9)+1)</f>
        <v>0</v>
      </c>
      <c r="B10" t="str">
        <f>vnitřní!E54</f>
        <v/>
      </c>
      <c r="C10" s="2" t="str">
        <f>vnitřní!J54</f>
        <v/>
      </c>
      <c r="H10" t="str">
        <f>IFERROR((VLOOKUP(10,$A$1:$C$24,2,0)),"")</f>
        <v/>
      </c>
      <c r="I10" t="str">
        <f>IFERROR((VLOOKUP(10,$A$1:$C$24,3,0)),"")</f>
        <v/>
      </c>
    </row>
    <row r="11" spans="1:9" x14ac:dyDescent="0.25">
      <c r="A11">
        <f>IF(OR(C11&lt;1,C11=""),0,MAX($A$1:A10)+1)</f>
        <v>0</v>
      </c>
      <c r="B11" t="str">
        <f>vnitřní!E55</f>
        <v/>
      </c>
      <c r="C11" s="2" t="str">
        <f>vnitřní!J55</f>
        <v/>
      </c>
      <c r="H11" t="str">
        <f>IFERROR((VLOOKUP(11,$A$1:$C$24,2,0)),"")</f>
        <v/>
      </c>
      <c r="I11" t="str">
        <f>IFERROR((VLOOKUP(11,$A$1:$C$24,3,0)),"")</f>
        <v/>
      </c>
    </row>
    <row r="12" spans="1:9" x14ac:dyDescent="0.25">
      <c r="A12">
        <f>IF(OR(C12&lt;1,C12=""),0,MAX($A$1:A11)+1)</f>
        <v>0</v>
      </c>
      <c r="B12" t="str">
        <f>vnitřní!E56</f>
        <v/>
      </c>
      <c r="C12" s="2" t="str">
        <f>vnitřní!J56</f>
        <v/>
      </c>
      <c r="H12" t="str">
        <f>IFERROR((VLOOKUP(12,$A$1:$C$24,2,0)),"")</f>
        <v/>
      </c>
      <c r="I12" t="str">
        <f>IFERROR((VLOOKUP(12,$A$1:$C$24,3,0)),"")</f>
        <v/>
      </c>
    </row>
    <row r="13" spans="1:9" x14ac:dyDescent="0.25">
      <c r="A13">
        <f>IF(OR(C13&lt;1,C13=""),0,MAX($A$1:A12)+1)</f>
        <v>0</v>
      </c>
      <c r="B13" t="str">
        <f>vnitřní!E57</f>
        <v/>
      </c>
      <c r="C13" s="2" t="str">
        <f>vnitřní!J57</f>
        <v/>
      </c>
      <c r="H13" t="str">
        <f>IFERROR((VLOOKUP(13,$A$1:$C$24,2,0)),"")</f>
        <v/>
      </c>
      <c r="I13" t="str">
        <f>IFERROR((VLOOKUP(13,$A$1:$C$24,3,0)),"")</f>
        <v/>
      </c>
    </row>
    <row r="14" spans="1:9" x14ac:dyDescent="0.25">
      <c r="A14">
        <f>IF(OR(C14&lt;1,C14=""),0,MAX($A$1:A13)+1)</f>
        <v>0</v>
      </c>
      <c r="B14" t="str">
        <f>vnitřní!E59</f>
        <v/>
      </c>
      <c r="C14" s="2" t="str">
        <f>vnitřní!J59</f>
        <v/>
      </c>
      <c r="H14" t="str">
        <f>IFERROR((VLOOKUP(14,$A$1:$C$24,2,0)),"")</f>
        <v/>
      </c>
      <c r="I14" t="str">
        <f>IFERROR((VLOOKUP(14,$A$1:$C$24,3,0)),"")</f>
        <v/>
      </c>
    </row>
    <row r="15" spans="1:9" x14ac:dyDescent="0.25">
      <c r="A15">
        <f>IF(OR(C15&lt;1,C15=""),0,MAX($A$1:A14)+1)</f>
        <v>0</v>
      </c>
      <c r="B15" t="str">
        <f>vnitřní!E60</f>
        <v/>
      </c>
      <c r="C15" s="2" t="str">
        <f>vnitřní!J60</f>
        <v/>
      </c>
      <c r="H15" t="str">
        <f>IFERROR((VLOOKUP(15,$A$1:$C$24,2,0)),"")</f>
        <v/>
      </c>
      <c r="I15" t="str">
        <f>IFERROR((VLOOKUP(15,$A$1:$C$24,3,0)),"")</f>
        <v/>
      </c>
    </row>
    <row r="16" spans="1:9" x14ac:dyDescent="0.25">
      <c r="A16">
        <f>IF(OR(C16&lt;1,C16=""),0,MAX($A$1:A15)+1)</f>
        <v>0</v>
      </c>
      <c r="B16" t="str">
        <f>vnitřní!E62</f>
        <v/>
      </c>
      <c r="C16" s="2" t="str">
        <f>vnitřní!J62</f>
        <v/>
      </c>
    </row>
    <row r="17" spans="1:3" x14ac:dyDescent="0.25">
      <c r="A17">
        <f>IF(OR(C17&lt;1,C17=""),0,MAX($A$1:A16)+1)</f>
        <v>0</v>
      </c>
      <c r="B17" t="str">
        <f>vnitřní!E63</f>
        <v/>
      </c>
      <c r="C17" s="2" t="str">
        <f>vnitřní!J63</f>
        <v/>
      </c>
    </row>
    <row r="18" spans="1:3" x14ac:dyDescent="0.25">
      <c r="A18">
        <f>IF(OR(C18&lt;1,C18=""),0,MAX($A$1:A17)+1)</f>
        <v>0</v>
      </c>
      <c r="B18" t="str">
        <f>vnitřní!E64</f>
        <v/>
      </c>
      <c r="C18" s="2" t="str">
        <f>vnitřní!J64</f>
        <v/>
      </c>
    </row>
    <row r="19" spans="1:3" x14ac:dyDescent="0.25">
      <c r="A19">
        <f>IF(OR(C19&lt;1,C19=""),0,MAX($A$1:A18)+1)</f>
        <v>0</v>
      </c>
      <c r="B19" t="str">
        <f>vnitřní!E65</f>
        <v/>
      </c>
      <c r="C19" s="2" t="str">
        <f>vnitřní!J65</f>
        <v/>
      </c>
    </row>
    <row r="20" spans="1:3" x14ac:dyDescent="0.25">
      <c r="A20">
        <f>IF(OR(C20&lt;1,C20=""),0,MAX($A$1:A19)+1)</f>
        <v>0</v>
      </c>
      <c r="B20" t="str">
        <f>vnitřní!E66</f>
        <v/>
      </c>
      <c r="C20" s="2" t="str">
        <f>vnitřní!J66</f>
        <v/>
      </c>
    </row>
    <row r="21" spans="1:3" x14ac:dyDescent="0.25">
      <c r="A21">
        <f>IF(OR(C21&lt;1,C21=""),0,MAX($A$1:A20)+1)</f>
        <v>0</v>
      </c>
      <c r="B21" t="str">
        <f>vnitřní!E67</f>
        <v/>
      </c>
      <c r="C21" s="2" t="str">
        <f>vnitřní!J67</f>
        <v/>
      </c>
    </row>
    <row r="22" spans="1:3" x14ac:dyDescent="0.25">
      <c r="A22">
        <f>IF(OR(C22&lt;1,C22=""),0,MAX($A$1:A21)+1)</f>
        <v>0</v>
      </c>
      <c r="B22" t="str">
        <f>vnitřní!E68</f>
        <v/>
      </c>
      <c r="C22" s="2" t="str">
        <f>vnitřní!J68</f>
        <v/>
      </c>
    </row>
    <row r="23" spans="1:3" x14ac:dyDescent="0.25">
      <c r="A23">
        <f>IF(OR(C23&lt;1,C23=""),0,MAX($A$1:A22)+1)</f>
        <v>0</v>
      </c>
      <c r="B23" t="str">
        <f>vnitřní!E69</f>
        <v/>
      </c>
      <c r="C23" s="2" t="str">
        <f>vnitřní!J69</f>
        <v/>
      </c>
    </row>
    <row r="24" spans="1:3" x14ac:dyDescent="0.25">
      <c r="A24">
        <f>IF(OR(C24&lt;1,C24=""),0,MAX($A$1:A23)+1)</f>
        <v>0</v>
      </c>
      <c r="B24" t="str">
        <f>vnitřní!E71</f>
        <v/>
      </c>
      <c r="C24" s="2" t="str">
        <f>vnitřní!J71</f>
        <v/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8DF1-249B-4F57-85A8-C987E8218659}">
  <sheetPr codeName="List7"/>
  <dimension ref="B1:Q327"/>
  <sheetViews>
    <sheetView workbookViewId="0"/>
  </sheetViews>
  <sheetFormatPr defaultRowHeight="15" x14ac:dyDescent="0.25"/>
  <cols>
    <col min="2" max="2" width="56.42578125" customWidth="1"/>
    <col min="4" max="4" width="76" bestFit="1" customWidth="1"/>
    <col min="6" max="6" width="18" customWidth="1"/>
    <col min="10" max="10" width="16" customWidth="1"/>
    <col min="11" max="11" width="6.7109375" customWidth="1"/>
    <col min="12" max="12" width="18" customWidth="1"/>
    <col min="15" max="15" width="31.7109375" customWidth="1"/>
    <col min="16" max="16" width="14.140625" bestFit="1" customWidth="1"/>
    <col min="17" max="17" width="13.42578125" bestFit="1" customWidth="1"/>
  </cols>
  <sheetData>
    <row r="1" spans="2:17" x14ac:dyDescent="0.25">
      <c r="D1">
        <f>Překlady!D1</f>
        <v>4</v>
      </c>
    </row>
    <row r="2" spans="2:17" x14ac:dyDescent="0.25">
      <c r="C2" s="3" t="s">
        <v>350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s="3" t="s">
        <v>547</v>
      </c>
      <c r="K2" t="s">
        <v>548</v>
      </c>
      <c r="L2" t="s">
        <v>549</v>
      </c>
      <c r="M2" t="s">
        <v>471</v>
      </c>
      <c r="N2" t="s">
        <v>550</v>
      </c>
      <c r="O2" s="5" t="s">
        <v>551</v>
      </c>
    </row>
    <row r="3" spans="2:17" x14ac:dyDescent="0.25">
      <c r="B3" t="str">
        <f t="shared" ref="B3:B34" si="0">IF($D$1=1,D:D,IF($D$1=2,E:E,IF($D$1=3,F:F,IF($D$1=4,G:G,IF($D$1=5,H:H)))))</f>
        <v>K-StrongMax 18 89/300mm 40kg, sötétszürke</v>
      </c>
      <c r="C3" s="3">
        <v>503030</v>
      </c>
      <c r="D3" s="3" t="s">
        <v>552</v>
      </c>
      <c r="E3" s="3" t="s">
        <v>552</v>
      </c>
      <c r="F3" s="3" t="s">
        <v>553</v>
      </c>
      <c r="G3" s="3" t="s">
        <v>554</v>
      </c>
      <c r="H3" s="3" t="s">
        <v>555</v>
      </c>
      <c r="I3" s="3"/>
      <c r="K3">
        <v>89</v>
      </c>
      <c r="L3" t="str">
        <f>Překlady!$C$33</f>
        <v>szürke</v>
      </c>
      <c r="M3" t="s">
        <v>234</v>
      </c>
      <c r="N3">
        <v>300</v>
      </c>
      <c r="O3" s="4" t="str">
        <f>_xlfn.CONCAT(L3,"_sklo_",M3,"_",K3,"_",N3)</f>
        <v>szürke_sklo_ne_89_300</v>
      </c>
      <c r="P3" s="3">
        <f>C3</f>
        <v>503030</v>
      </c>
      <c r="Q3" t="str">
        <f>B3</f>
        <v>K-StrongMax 18 89/300mm 40kg, sötétszürke</v>
      </c>
    </row>
    <row r="4" spans="2:17" x14ac:dyDescent="0.25">
      <c r="B4" t="str">
        <f t="shared" si="0"/>
        <v>K-StrongMax 18 89/350mm 40kg, sötétszürke</v>
      </c>
      <c r="C4" s="3">
        <v>503031</v>
      </c>
      <c r="D4" s="3" t="s">
        <v>556</v>
      </c>
      <c r="E4" s="3" t="s">
        <v>556</v>
      </c>
      <c r="F4" s="3" t="s">
        <v>557</v>
      </c>
      <c r="G4" s="3" t="s">
        <v>558</v>
      </c>
      <c r="H4" s="3" t="s">
        <v>559</v>
      </c>
      <c r="I4" s="3"/>
      <c r="K4">
        <v>89</v>
      </c>
      <c r="L4" t="str">
        <f>Překlady!$C$33</f>
        <v>szürke</v>
      </c>
      <c r="M4" t="s">
        <v>234</v>
      </c>
      <c r="N4">
        <v>350</v>
      </c>
      <c r="O4" s="4" t="str">
        <f t="shared" ref="O4:O67" si="1">_xlfn.CONCAT(L4,"_sklo_",M4,"_",K4,"_",N4)</f>
        <v>szürke_sklo_ne_89_350</v>
      </c>
      <c r="P4" s="3">
        <f t="shared" ref="P4:P67" si="2">C4</f>
        <v>503031</v>
      </c>
      <c r="Q4" t="str">
        <f t="shared" ref="Q4:Q67" si="3">B4</f>
        <v>K-StrongMax 18 89/350mm 40kg, sötétszürke</v>
      </c>
    </row>
    <row r="5" spans="2:17" x14ac:dyDescent="0.25">
      <c r="B5" t="str">
        <f t="shared" si="0"/>
        <v>K-StrongMax 18 89/400mm 40kg, sötétszürke</v>
      </c>
      <c r="C5" s="3">
        <v>503032</v>
      </c>
      <c r="D5" s="3" t="s">
        <v>560</v>
      </c>
      <c r="E5" s="3" t="s">
        <v>560</v>
      </c>
      <c r="F5" s="3" t="s">
        <v>561</v>
      </c>
      <c r="G5" s="3" t="s">
        <v>562</v>
      </c>
      <c r="H5" s="3" t="s">
        <v>563</v>
      </c>
      <c r="I5" s="3"/>
      <c r="K5">
        <v>89</v>
      </c>
      <c r="L5" t="str">
        <f>Překlady!$C$33</f>
        <v>szürke</v>
      </c>
      <c r="M5" t="s">
        <v>234</v>
      </c>
      <c r="N5">
        <v>400</v>
      </c>
      <c r="O5" s="4" t="str">
        <f t="shared" si="1"/>
        <v>szürke_sklo_ne_89_400</v>
      </c>
      <c r="P5" s="3">
        <f t="shared" si="2"/>
        <v>503032</v>
      </c>
      <c r="Q5" t="str">
        <f t="shared" si="3"/>
        <v>K-StrongMax 18 89/400mm 40kg, sötétszürke</v>
      </c>
    </row>
    <row r="6" spans="2:17" x14ac:dyDescent="0.25">
      <c r="B6" t="str">
        <f t="shared" si="0"/>
        <v>K-StrongMax 18 89/450mm 40kg, sötétszürke</v>
      </c>
      <c r="C6" s="3">
        <v>503033</v>
      </c>
      <c r="D6" s="3" t="s">
        <v>564</v>
      </c>
      <c r="E6" s="3" t="s">
        <v>564</v>
      </c>
      <c r="F6" s="3" t="s">
        <v>565</v>
      </c>
      <c r="G6" s="3" t="s">
        <v>566</v>
      </c>
      <c r="H6" s="3" t="s">
        <v>567</v>
      </c>
      <c r="I6" s="3"/>
      <c r="K6">
        <v>89</v>
      </c>
      <c r="L6" t="str">
        <f>Překlady!$C$33</f>
        <v>szürke</v>
      </c>
      <c r="M6" t="s">
        <v>234</v>
      </c>
      <c r="N6">
        <v>450</v>
      </c>
      <c r="O6" s="4" t="str">
        <f t="shared" si="1"/>
        <v>szürke_sklo_ne_89_450</v>
      </c>
      <c r="P6" s="3">
        <f t="shared" si="2"/>
        <v>503033</v>
      </c>
      <c r="Q6" t="str">
        <f t="shared" si="3"/>
        <v>K-StrongMax 18 89/450mm 40kg, sötétszürke</v>
      </c>
    </row>
    <row r="7" spans="2:17" x14ac:dyDescent="0.25">
      <c r="B7" t="str">
        <f t="shared" si="0"/>
        <v>K-StrongMax 18 89/500mm 40kg, sötétszürke</v>
      </c>
      <c r="C7" s="3">
        <v>503034</v>
      </c>
      <c r="D7" s="3" t="s">
        <v>568</v>
      </c>
      <c r="E7" s="3" t="s">
        <v>568</v>
      </c>
      <c r="F7" s="3" t="s">
        <v>569</v>
      </c>
      <c r="G7" s="3" t="s">
        <v>570</v>
      </c>
      <c r="H7" s="3" t="s">
        <v>571</v>
      </c>
      <c r="I7" s="3"/>
      <c r="K7">
        <v>89</v>
      </c>
      <c r="L7" t="str">
        <f>Překlady!$C$33</f>
        <v>szürke</v>
      </c>
      <c r="M7" t="s">
        <v>234</v>
      </c>
      <c r="N7">
        <v>500</v>
      </c>
      <c r="O7" s="4" t="str">
        <f t="shared" si="1"/>
        <v>szürke_sklo_ne_89_500</v>
      </c>
      <c r="P7" s="3">
        <f t="shared" si="2"/>
        <v>503034</v>
      </c>
      <c r="Q7" t="str">
        <f t="shared" si="3"/>
        <v>K-StrongMax 18 89/500mm 40kg, sötétszürke</v>
      </c>
    </row>
    <row r="8" spans="2:17" x14ac:dyDescent="0.25">
      <c r="B8" t="str">
        <f t="shared" si="0"/>
        <v>K-StrongMax 18 89/550mm 40kg, sötétszürke</v>
      </c>
      <c r="C8" s="3">
        <v>503035</v>
      </c>
      <c r="D8" s="3" t="s">
        <v>572</v>
      </c>
      <c r="E8" s="3" t="s">
        <v>572</v>
      </c>
      <c r="F8" s="3" t="s">
        <v>573</v>
      </c>
      <c r="G8" s="3" t="s">
        <v>574</v>
      </c>
      <c r="H8" s="3" t="s">
        <v>575</v>
      </c>
      <c r="I8" s="3"/>
      <c r="K8">
        <v>89</v>
      </c>
      <c r="L8" t="str">
        <f>Překlady!$C$33</f>
        <v>szürke</v>
      </c>
      <c r="M8" t="s">
        <v>234</v>
      </c>
      <c r="N8">
        <v>550</v>
      </c>
      <c r="O8" s="4" t="str">
        <f t="shared" si="1"/>
        <v>szürke_sklo_ne_89_550</v>
      </c>
      <c r="P8" s="3">
        <f t="shared" si="2"/>
        <v>503035</v>
      </c>
      <c r="Q8" t="str">
        <f t="shared" si="3"/>
        <v>K-StrongMax 18 89/550mm 40kg, sötétszürke</v>
      </c>
    </row>
    <row r="9" spans="2:17" x14ac:dyDescent="0.25">
      <c r="B9" t="str">
        <f t="shared" si="0"/>
        <v>K-StrongMax 18 89/600mm 40kg, sötétszürke</v>
      </c>
      <c r="C9" s="3">
        <v>503036</v>
      </c>
      <c r="D9" s="3" t="s">
        <v>576</v>
      </c>
      <c r="E9" s="3" t="s">
        <v>576</v>
      </c>
      <c r="F9" s="3" t="s">
        <v>577</v>
      </c>
      <c r="G9" s="3" t="s">
        <v>578</v>
      </c>
      <c r="H9" s="3" t="s">
        <v>579</v>
      </c>
      <c r="I9" s="3"/>
      <c r="K9">
        <v>89</v>
      </c>
      <c r="L9" t="str">
        <f>Překlady!$C$33</f>
        <v>szürke</v>
      </c>
      <c r="M9" t="s">
        <v>234</v>
      </c>
      <c r="N9">
        <v>600</v>
      </c>
      <c r="O9" s="4" t="str">
        <f t="shared" si="1"/>
        <v>szürke_sklo_ne_89_600</v>
      </c>
      <c r="P9" s="3">
        <f t="shared" si="2"/>
        <v>503036</v>
      </c>
      <c r="Q9" t="str">
        <f t="shared" si="3"/>
        <v>K-StrongMax 18 89/600mm 40kg, sötétszürke</v>
      </c>
    </row>
    <row r="10" spans="2:17" x14ac:dyDescent="0.25">
      <c r="B10" t="str">
        <f t="shared" si="0"/>
        <v>K-StrongMax 18 89/650mm 40kg, sötétszürke</v>
      </c>
      <c r="C10" s="3">
        <v>503037</v>
      </c>
      <c r="D10" s="3" t="s">
        <v>580</v>
      </c>
      <c r="E10" s="3" t="s">
        <v>580</v>
      </c>
      <c r="F10" s="3" t="s">
        <v>581</v>
      </c>
      <c r="G10" s="3" t="s">
        <v>582</v>
      </c>
      <c r="H10" s="3" t="s">
        <v>583</v>
      </c>
      <c r="I10" s="3"/>
      <c r="K10">
        <v>89</v>
      </c>
      <c r="L10" t="str">
        <f>Překlady!$C$33</f>
        <v>szürke</v>
      </c>
      <c r="M10" t="s">
        <v>234</v>
      </c>
      <c r="N10">
        <v>650</v>
      </c>
      <c r="O10" s="4" t="str">
        <f t="shared" si="1"/>
        <v>szürke_sklo_ne_89_650</v>
      </c>
      <c r="P10" s="3">
        <f t="shared" si="2"/>
        <v>503037</v>
      </c>
      <c r="Q10" t="str">
        <f t="shared" si="3"/>
        <v>K-StrongMax 18 89/650mm 40kg, sötétszürke</v>
      </c>
    </row>
    <row r="11" spans="2:17" x14ac:dyDescent="0.25">
      <c r="B11" t="str">
        <f t="shared" si="0"/>
        <v>K-StrongMax 18 121/300mm 40kg, sötétszürke</v>
      </c>
      <c r="C11" s="3">
        <v>503038</v>
      </c>
      <c r="D11" s="3" t="s">
        <v>584</v>
      </c>
      <c r="E11" s="3" t="s">
        <v>584</v>
      </c>
      <c r="F11" s="3" t="s">
        <v>585</v>
      </c>
      <c r="G11" s="3" t="s">
        <v>586</v>
      </c>
      <c r="H11" s="3" t="s">
        <v>587</v>
      </c>
      <c r="I11" s="3"/>
      <c r="K11">
        <v>121</v>
      </c>
      <c r="L11" t="str">
        <f>Překlady!$C$33</f>
        <v>szürke</v>
      </c>
      <c r="M11" t="s">
        <v>234</v>
      </c>
      <c r="N11">
        <v>300</v>
      </c>
      <c r="O11" s="4" t="str">
        <f t="shared" si="1"/>
        <v>szürke_sklo_ne_121_300</v>
      </c>
      <c r="P11" s="3">
        <f t="shared" si="2"/>
        <v>503038</v>
      </c>
      <c r="Q11" t="str">
        <f t="shared" si="3"/>
        <v>K-StrongMax 18 121/300mm 40kg, sötétszürke</v>
      </c>
    </row>
    <row r="12" spans="2:17" x14ac:dyDescent="0.25">
      <c r="B12" t="str">
        <f t="shared" si="0"/>
        <v>K-StrongMax 18 121/350mm 40kg, sötétszürke</v>
      </c>
      <c r="C12" s="3">
        <v>503039</v>
      </c>
      <c r="D12" s="3" t="s">
        <v>588</v>
      </c>
      <c r="E12" s="3" t="s">
        <v>588</v>
      </c>
      <c r="F12" s="3" t="s">
        <v>589</v>
      </c>
      <c r="G12" s="3" t="s">
        <v>590</v>
      </c>
      <c r="H12" s="3" t="s">
        <v>591</v>
      </c>
      <c r="I12" s="3"/>
      <c r="K12">
        <v>121</v>
      </c>
      <c r="L12" t="str">
        <f>Překlady!$C$33</f>
        <v>szürke</v>
      </c>
      <c r="M12" t="s">
        <v>234</v>
      </c>
      <c r="N12">
        <v>350</v>
      </c>
      <c r="O12" s="4" t="str">
        <f t="shared" si="1"/>
        <v>szürke_sklo_ne_121_350</v>
      </c>
      <c r="P12" s="3">
        <f t="shared" si="2"/>
        <v>503039</v>
      </c>
      <c r="Q12" t="str">
        <f t="shared" si="3"/>
        <v>K-StrongMax 18 121/350mm 40kg, sötétszürke</v>
      </c>
    </row>
    <row r="13" spans="2:17" x14ac:dyDescent="0.25">
      <c r="B13" t="str">
        <f t="shared" si="0"/>
        <v>K-StrongMax 18 121/400mm 40kg, sötétszürke</v>
      </c>
      <c r="C13" s="3">
        <v>503040</v>
      </c>
      <c r="D13" s="3" t="s">
        <v>592</v>
      </c>
      <c r="E13" s="3" t="s">
        <v>592</v>
      </c>
      <c r="F13" s="3" t="s">
        <v>593</v>
      </c>
      <c r="G13" s="3" t="s">
        <v>594</v>
      </c>
      <c r="H13" s="3" t="s">
        <v>595</v>
      </c>
      <c r="I13" s="3"/>
      <c r="K13">
        <v>121</v>
      </c>
      <c r="L13" t="str">
        <f>Překlady!$C$33</f>
        <v>szürke</v>
      </c>
      <c r="M13" t="s">
        <v>234</v>
      </c>
      <c r="N13">
        <v>400</v>
      </c>
      <c r="O13" s="4" t="str">
        <f t="shared" si="1"/>
        <v>szürke_sklo_ne_121_400</v>
      </c>
      <c r="P13" s="3">
        <f t="shared" si="2"/>
        <v>503040</v>
      </c>
      <c r="Q13" t="str">
        <f t="shared" si="3"/>
        <v>K-StrongMax 18 121/400mm 40kg, sötétszürke</v>
      </c>
    </row>
    <row r="14" spans="2:17" x14ac:dyDescent="0.25">
      <c r="B14" t="str">
        <f t="shared" si="0"/>
        <v>K-StrongMax 18 121/450mm 40kg, sötétszürke</v>
      </c>
      <c r="C14" s="3">
        <v>503041</v>
      </c>
      <c r="D14" s="3" t="s">
        <v>596</v>
      </c>
      <c r="E14" s="3" t="s">
        <v>596</v>
      </c>
      <c r="F14" s="3" t="s">
        <v>597</v>
      </c>
      <c r="G14" s="3" t="s">
        <v>598</v>
      </c>
      <c r="H14" s="3" t="s">
        <v>599</v>
      </c>
      <c r="I14" s="3"/>
      <c r="K14">
        <v>121</v>
      </c>
      <c r="L14" t="str">
        <f>Překlady!$C$33</f>
        <v>szürke</v>
      </c>
      <c r="M14" t="s">
        <v>234</v>
      </c>
      <c r="N14">
        <v>450</v>
      </c>
      <c r="O14" s="4" t="str">
        <f t="shared" si="1"/>
        <v>szürke_sklo_ne_121_450</v>
      </c>
      <c r="P14" s="3">
        <f t="shared" si="2"/>
        <v>503041</v>
      </c>
      <c r="Q14" t="str">
        <f t="shared" si="3"/>
        <v>K-StrongMax 18 121/450mm 40kg, sötétszürke</v>
      </c>
    </row>
    <row r="15" spans="2:17" x14ac:dyDescent="0.25">
      <c r="B15" t="str">
        <f t="shared" si="0"/>
        <v>K-StrongMax 18 121/500mm 40kg, sötétszürke</v>
      </c>
      <c r="C15" s="3">
        <v>503042</v>
      </c>
      <c r="D15" s="3" t="s">
        <v>600</v>
      </c>
      <c r="E15" s="3" t="s">
        <v>600</v>
      </c>
      <c r="F15" s="3" t="s">
        <v>601</v>
      </c>
      <c r="G15" s="3" t="s">
        <v>602</v>
      </c>
      <c r="H15" s="3" t="s">
        <v>603</v>
      </c>
      <c r="I15" s="3"/>
      <c r="K15">
        <v>121</v>
      </c>
      <c r="L15" t="str">
        <f>Překlady!$C$33</f>
        <v>szürke</v>
      </c>
      <c r="M15" t="s">
        <v>234</v>
      </c>
      <c r="N15">
        <v>500</v>
      </c>
      <c r="O15" s="4" t="str">
        <f t="shared" si="1"/>
        <v>szürke_sklo_ne_121_500</v>
      </c>
      <c r="P15" s="3">
        <f t="shared" si="2"/>
        <v>503042</v>
      </c>
      <c r="Q15" t="str">
        <f t="shared" si="3"/>
        <v>K-StrongMax 18 121/500mm 40kg, sötétszürke</v>
      </c>
    </row>
    <row r="16" spans="2:17" x14ac:dyDescent="0.25">
      <c r="B16" t="str">
        <f t="shared" si="0"/>
        <v>K-StrongMax 18 121/550mm 40kg, sötétszürke</v>
      </c>
      <c r="C16" s="3">
        <v>503043</v>
      </c>
      <c r="D16" s="3" t="s">
        <v>604</v>
      </c>
      <c r="E16" s="3" t="s">
        <v>604</v>
      </c>
      <c r="F16" s="3" t="s">
        <v>605</v>
      </c>
      <c r="G16" s="3" t="s">
        <v>606</v>
      </c>
      <c r="H16" s="3" t="s">
        <v>607</v>
      </c>
      <c r="I16" s="3"/>
      <c r="K16">
        <v>121</v>
      </c>
      <c r="L16" t="str">
        <f>Překlady!$C$33</f>
        <v>szürke</v>
      </c>
      <c r="M16" t="s">
        <v>234</v>
      </c>
      <c r="N16">
        <v>550</v>
      </c>
      <c r="O16" s="4" t="str">
        <f t="shared" si="1"/>
        <v>szürke_sklo_ne_121_550</v>
      </c>
      <c r="P16" s="3">
        <f t="shared" si="2"/>
        <v>503043</v>
      </c>
      <c r="Q16" t="str">
        <f t="shared" si="3"/>
        <v>K-StrongMax 18 121/550mm 40kg, sötétszürke</v>
      </c>
    </row>
    <row r="17" spans="2:17" x14ac:dyDescent="0.25">
      <c r="B17" t="str">
        <f t="shared" si="0"/>
        <v>K-StrongMax 18 121/600mm 40kg, sötétszürke</v>
      </c>
      <c r="C17" s="3">
        <v>503044</v>
      </c>
      <c r="D17" s="3" t="s">
        <v>608</v>
      </c>
      <c r="E17" s="3" t="s">
        <v>608</v>
      </c>
      <c r="F17" s="3" t="s">
        <v>609</v>
      </c>
      <c r="G17" s="3" t="s">
        <v>610</v>
      </c>
      <c r="H17" s="3" t="s">
        <v>611</v>
      </c>
      <c r="I17" s="3"/>
      <c r="K17">
        <v>121</v>
      </c>
      <c r="L17" t="str">
        <f>Překlady!$C$33</f>
        <v>szürke</v>
      </c>
      <c r="M17" t="s">
        <v>234</v>
      </c>
      <c r="N17">
        <v>600</v>
      </c>
      <c r="O17" s="4" t="str">
        <f t="shared" si="1"/>
        <v>szürke_sklo_ne_121_600</v>
      </c>
      <c r="P17" s="3">
        <f t="shared" si="2"/>
        <v>503044</v>
      </c>
      <c r="Q17" t="str">
        <f t="shared" si="3"/>
        <v>K-StrongMax 18 121/600mm 40kg, sötétszürke</v>
      </c>
    </row>
    <row r="18" spans="2:17" x14ac:dyDescent="0.25">
      <c r="B18" t="str">
        <f t="shared" si="0"/>
        <v>K-StrongMax 18 121/650mm 40kg, sötétszürke</v>
      </c>
      <c r="C18" s="3">
        <v>503045</v>
      </c>
      <c r="D18" s="3" t="s">
        <v>612</v>
      </c>
      <c r="E18" s="3" t="s">
        <v>612</v>
      </c>
      <c r="F18" s="3" t="s">
        <v>613</v>
      </c>
      <c r="G18" s="3" t="s">
        <v>614</v>
      </c>
      <c r="H18" s="3" t="s">
        <v>615</v>
      </c>
      <c r="I18" s="3"/>
      <c r="K18">
        <v>121</v>
      </c>
      <c r="L18" t="str">
        <f>Překlady!$C$33</f>
        <v>szürke</v>
      </c>
      <c r="M18" t="s">
        <v>234</v>
      </c>
      <c r="N18">
        <v>650</v>
      </c>
      <c r="O18" s="4" t="str">
        <f t="shared" si="1"/>
        <v>szürke_sklo_ne_121_650</v>
      </c>
      <c r="P18" s="3">
        <f t="shared" si="2"/>
        <v>503045</v>
      </c>
      <c r="Q18" t="str">
        <f t="shared" si="3"/>
        <v>K-StrongMax 18 121/650mm 40kg, sötétszürke</v>
      </c>
    </row>
    <row r="19" spans="2:17" x14ac:dyDescent="0.25">
      <c r="B19" t="str">
        <f t="shared" si="0"/>
        <v>K-StrongMax 18 185/300mm 40kg, sötétszürke</v>
      </c>
      <c r="C19" s="3">
        <v>503046</v>
      </c>
      <c r="D19" s="3" t="s">
        <v>616</v>
      </c>
      <c r="E19" s="3" t="s">
        <v>616</v>
      </c>
      <c r="F19" s="3" t="s">
        <v>617</v>
      </c>
      <c r="G19" s="3" t="s">
        <v>618</v>
      </c>
      <c r="H19" s="3" t="s">
        <v>619</v>
      </c>
      <c r="I19" s="3"/>
      <c r="K19">
        <v>185</v>
      </c>
      <c r="L19" t="str">
        <f>Překlady!$C$33</f>
        <v>szürke</v>
      </c>
      <c r="M19" t="s">
        <v>234</v>
      </c>
      <c r="N19">
        <v>300</v>
      </c>
      <c r="O19" s="4" t="str">
        <f t="shared" si="1"/>
        <v>szürke_sklo_ne_185_300</v>
      </c>
      <c r="P19" s="3">
        <f t="shared" si="2"/>
        <v>503046</v>
      </c>
      <c r="Q19" t="str">
        <f t="shared" si="3"/>
        <v>K-StrongMax 18 185/300mm 40kg, sötétszürke</v>
      </c>
    </row>
    <row r="20" spans="2:17" x14ac:dyDescent="0.25">
      <c r="B20" t="str">
        <f t="shared" si="0"/>
        <v>K-StrongMax 18 185/350mm 40kg, sötétszürke</v>
      </c>
      <c r="C20" s="3">
        <v>503047</v>
      </c>
      <c r="D20" s="3" t="s">
        <v>620</v>
      </c>
      <c r="E20" s="3" t="s">
        <v>620</v>
      </c>
      <c r="F20" s="3" t="s">
        <v>621</v>
      </c>
      <c r="G20" s="3" t="s">
        <v>622</v>
      </c>
      <c r="H20" s="3" t="s">
        <v>623</v>
      </c>
      <c r="I20" s="3"/>
      <c r="K20">
        <v>185</v>
      </c>
      <c r="L20" t="str">
        <f>Překlady!$C$33</f>
        <v>szürke</v>
      </c>
      <c r="M20" t="s">
        <v>234</v>
      </c>
      <c r="N20">
        <v>350</v>
      </c>
      <c r="O20" s="4" t="str">
        <f t="shared" si="1"/>
        <v>szürke_sklo_ne_185_350</v>
      </c>
      <c r="P20" s="3">
        <f t="shared" si="2"/>
        <v>503047</v>
      </c>
      <c r="Q20" t="str">
        <f t="shared" si="3"/>
        <v>K-StrongMax 18 185/350mm 40kg, sötétszürke</v>
      </c>
    </row>
    <row r="21" spans="2:17" x14ac:dyDescent="0.25">
      <c r="B21" t="str">
        <f t="shared" si="0"/>
        <v>K-StrongMax 18 185/400mm 40kg, sötétszürke</v>
      </c>
      <c r="C21" s="3">
        <v>503048</v>
      </c>
      <c r="D21" s="3" t="s">
        <v>624</v>
      </c>
      <c r="E21" s="3" t="s">
        <v>624</v>
      </c>
      <c r="F21" s="3" t="s">
        <v>625</v>
      </c>
      <c r="G21" s="3" t="s">
        <v>626</v>
      </c>
      <c r="H21" s="3" t="s">
        <v>627</v>
      </c>
      <c r="I21" s="3"/>
      <c r="K21">
        <v>185</v>
      </c>
      <c r="L21" t="str">
        <f>Překlady!$C$33</f>
        <v>szürke</v>
      </c>
      <c r="M21" t="s">
        <v>234</v>
      </c>
      <c r="N21">
        <v>400</v>
      </c>
      <c r="O21" s="4" t="str">
        <f t="shared" si="1"/>
        <v>szürke_sklo_ne_185_400</v>
      </c>
      <c r="P21" s="3">
        <f t="shared" si="2"/>
        <v>503048</v>
      </c>
      <c r="Q21" t="str">
        <f t="shared" si="3"/>
        <v>K-StrongMax 18 185/400mm 40kg, sötétszürke</v>
      </c>
    </row>
    <row r="22" spans="2:17" x14ac:dyDescent="0.25">
      <c r="B22" t="str">
        <f t="shared" si="0"/>
        <v>K-StrongMax 18 185/450mm 40kg, sötétszürke</v>
      </c>
      <c r="C22" s="3">
        <v>503049</v>
      </c>
      <c r="D22" s="3" t="s">
        <v>628</v>
      </c>
      <c r="E22" s="3" t="s">
        <v>628</v>
      </c>
      <c r="F22" s="3" t="s">
        <v>629</v>
      </c>
      <c r="G22" s="3" t="s">
        <v>630</v>
      </c>
      <c r="H22" s="3" t="s">
        <v>631</v>
      </c>
      <c r="I22" s="3"/>
      <c r="K22">
        <v>185</v>
      </c>
      <c r="L22" t="str">
        <f>Překlady!$C$33</f>
        <v>szürke</v>
      </c>
      <c r="M22" t="s">
        <v>234</v>
      </c>
      <c r="N22">
        <v>450</v>
      </c>
      <c r="O22" s="4" t="str">
        <f t="shared" si="1"/>
        <v>szürke_sklo_ne_185_450</v>
      </c>
      <c r="P22" s="3">
        <f t="shared" si="2"/>
        <v>503049</v>
      </c>
      <c r="Q22" t="str">
        <f t="shared" si="3"/>
        <v>K-StrongMax 18 185/450mm 40kg, sötétszürke</v>
      </c>
    </row>
    <row r="23" spans="2:17" x14ac:dyDescent="0.25">
      <c r="B23" t="str">
        <f t="shared" si="0"/>
        <v>K-StrongMax 18 185/500mm 40kg, sötétszürke</v>
      </c>
      <c r="C23" s="3">
        <v>503050</v>
      </c>
      <c r="D23" s="3" t="s">
        <v>632</v>
      </c>
      <c r="E23" s="3" t="s">
        <v>632</v>
      </c>
      <c r="F23" s="3" t="s">
        <v>633</v>
      </c>
      <c r="G23" s="3" t="s">
        <v>634</v>
      </c>
      <c r="H23" s="3" t="s">
        <v>635</v>
      </c>
      <c r="I23" s="3"/>
      <c r="K23">
        <v>185</v>
      </c>
      <c r="L23" t="str">
        <f>Překlady!$C$33</f>
        <v>szürke</v>
      </c>
      <c r="M23" t="s">
        <v>234</v>
      </c>
      <c r="N23">
        <v>500</v>
      </c>
      <c r="O23" s="4" t="str">
        <f t="shared" si="1"/>
        <v>szürke_sklo_ne_185_500</v>
      </c>
      <c r="P23" s="3">
        <f t="shared" si="2"/>
        <v>503050</v>
      </c>
      <c r="Q23" t="str">
        <f t="shared" si="3"/>
        <v>K-StrongMax 18 185/500mm 40kg, sötétszürke</v>
      </c>
    </row>
    <row r="24" spans="2:17" x14ac:dyDescent="0.25">
      <c r="B24" t="str">
        <f t="shared" si="0"/>
        <v>K-StrongMax 18 185/550mm 40kg, sötétszürke</v>
      </c>
      <c r="C24" s="3">
        <v>503051</v>
      </c>
      <c r="D24" s="3" t="s">
        <v>636</v>
      </c>
      <c r="E24" s="3" t="s">
        <v>636</v>
      </c>
      <c r="F24" s="3" t="s">
        <v>637</v>
      </c>
      <c r="G24" s="3" t="s">
        <v>638</v>
      </c>
      <c r="H24" s="3" t="s">
        <v>639</v>
      </c>
      <c r="I24" s="3"/>
      <c r="K24">
        <v>185</v>
      </c>
      <c r="L24" t="str">
        <f>Překlady!$C$33</f>
        <v>szürke</v>
      </c>
      <c r="M24" t="s">
        <v>234</v>
      </c>
      <c r="N24">
        <v>550</v>
      </c>
      <c r="O24" s="4" t="str">
        <f t="shared" si="1"/>
        <v>szürke_sklo_ne_185_550</v>
      </c>
      <c r="P24" s="3">
        <f t="shared" si="2"/>
        <v>503051</v>
      </c>
      <c r="Q24" t="str">
        <f t="shared" si="3"/>
        <v>K-StrongMax 18 185/550mm 40kg, sötétszürke</v>
      </c>
    </row>
    <row r="25" spans="2:17" x14ac:dyDescent="0.25">
      <c r="B25" t="str">
        <f t="shared" si="0"/>
        <v>K-StrongMax 18 185/600mm 40kg, sötétszürke</v>
      </c>
      <c r="C25" s="3">
        <v>503052</v>
      </c>
      <c r="D25" s="3" t="s">
        <v>640</v>
      </c>
      <c r="E25" s="3" t="s">
        <v>640</v>
      </c>
      <c r="F25" s="3" t="s">
        <v>641</v>
      </c>
      <c r="G25" s="3" t="s">
        <v>642</v>
      </c>
      <c r="H25" s="3" t="s">
        <v>643</v>
      </c>
      <c r="I25" s="3"/>
      <c r="K25">
        <v>185</v>
      </c>
      <c r="L25" t="str">
        <f>Překlady!$C$33</f>
        <v>szürke</v>
      </c>
      <c r="M25" t="s">
        <v>234</v>
      </c>
      <c r="N25">
        <v>600</v>
      </c>
      <c r="O25" s="4" t="str">
        <f t="shared" si="1"/>
        <v>szürke_sklo_ne_185_600</v>
      </c>
      <c r="P25" s="3">
        <f t="shared" si="2"/>
        <v>503052</v>
      </c>
      <c r="Q25" t="str">
        <f t="shared" si="3"/>
        <v>K-StrongMax 18 185/600mm 40kg, sötétszürke</v>
      </c>
    </row>
    <row r="26" spans="2:17" x14ac:dyDescent="0.25">
      <c r="B26" t="str">
        <f t="shared" si="0"/>
        <v>K-StrongMax 18 185/650mm 40kg, sötétszürke</v>
      </c>
      <c r="C26" s="3">
        <v>503053</v>
      </c>
      <c r="D26" s="3" t="s">
        <v>644</v>
      </c>
      <c r="E26" s="3" t="s">
        <v>644</v>
      </c>
      <c r="F26" s="3" t="s">
        <v>645</v>
      </c>
      <c r="G26" s="3" t="s">
        <v>646</v>
      </c>
      <c r="H26" s="3" t="s">
        <v>647</v>
      </c>
      <c r="I26" s="3"/>
      <c r="K26">
        <v>185</v>
      </c>
      <c r="L26" t="str">
        <f>Překlady!$C$33</f>
        <v>szürke</v>
      </c>
      <c r="M26" t="s">
        <v>234</v>
      </c>
      <c r="N26">
        <v>650</v>
      </c>
      <c r="O26" s="4" t="str">
        <f t="shared" si="1"/>
        <v>szürke_sklo_ne_185_650</v>
      </c>
      <c r="P26" s="3">
        <f t="shared" si="2"/>
        <v>503053</v>
      </c>
      <c r="Q26" t="str">
        <f t="shared" si="3"/>
        <v>K-StrongMax 18 185/650mm 40kg, sötétszürke</v>
      </c>
    </row>
    <row r="27" spans="2:17" x14ac:dyDescent="0.25">
      <c r="B27" t="str">
        <f t="shared" si="0"/>
        <v>K-StrongMax 18 249/450mm 40kg, sötétszürke</v>
      </c>
      <c r="C27" s="3">
        <v>503054</v>
      </c>
      <c r="D27" s="3" t="s">
        <v>648</v>
      </c>
      <c r="E27" s="3" t="s">
        <v>648</v>
      </c>
      <c r="F27" s="3" t="s">
        <v>649</v>
      </c>
      <c r="G27" s="3" t="s">
        <v>650</v>
      </c>
      <c r="H27" s="3" t="s">
        <v>651</v>
      </c>
      <c r="I27" s="3"/>
      <c r="K27">
        <v>249</v>
      </c>
      <c r="L27" t="str">
        <f>Překlady!$C$33</f>
        <v>szürke</v>
      </c>
      <c r="M27" t="s">
        <v>234</v>
      </c>
      <c r="N27">
        <v>450</v>
      </c>
      <c r="O27" s="4" t="str">
        <f t="shared" si="1"/>
        <v>szürke_sklo_ne_249_450</v>
      </c>
      <c r="P27" s="3">
        <f t="shared" si="2"/>
        <v>503054</v>
      </c>
      <c r="Q27" t="str">
        <f t="shared" si="3"/>
        <v>K-StrongMax 18 249/450mm 40kg, sötétszürke</v>
      </c>
    </row>
    <row r="28" spans="2:17" x14ac:dyDescent="0.25">
      <c r="B28" t="str">
        <f t="shared" si="0"/>
        <v>K-StrongMax 18 249/500mm 40kg, sötétszürke</v>
      </c>
      <c r="C28" s="3">
        <v>503055</v>
      </c>
      <c r="D28" s="3" t="s">
        <v>652</v>
      </c>
      <c r="E28" s="3" t="s">
        <v>652</v>
      </c>
      <c r="F28" s="3" t="s">
        <v>653</v>
      </c>
      <c r="G28" s="3" t="s">
        <v>654</v>
      </c>
      <c r="H28" s="3" t="s">
        <v>655</v>
      </c>
      <c r="I28" s="3"/>
      <c r="K28">
        <v>249</v>
      </c>
      <c r="L28" t="str">
        <f>Překlady!$C$33</f>
        <v>szürke</v>
      </c>
      <c r="M28" t="s">
        <v>234</v>
      </c>
      <c r="N28">
        <v>500</v>
      </c>
      <c r="O28" s="4" t="str">
        <f t="shared" si="1"/>
        <v>szürke_sklo_ne_249_500</v>
      </c>
      <c r="P28" s="3">
        <f t="shared" si="2"/>
        <v>503055</v>
      </c>
      <c r="Q28" t="str">
        <f t="shared" si="3"/>
        <v>K-StrongMax 18 249/500mm 40kg, sötétszürke</v>
      </c>
    </row>
    <row r="29" spans="2:17" x14ac:dyDescent="0.25">
      <c r="B29" t="str">
        <f t="shared" si="0"/>
        <v>K-StrongMax 18 249/550mm 40kg, sötétszürke</v>
      </c>
      <c r="C29" s="3">
        <v>503056</v>
      </c>
      <c r="D29" s="3" t="s">
        <v>656</v>
      </c>
      <c r="E29" s="3" t="s">
        <v>656</v>
      </c>
      <c r="F29" s="3" t="s">
        <v>657</v>
      </c>
      <c r="G29" s="3" t="s">
        <v>658</v>
      </c>
      <c r="H29" s="3" t="s">
        <v>659</v>
      </c>
      <c r="I29" s="3"/>
      <c r="K29">
        <v>249</v>
      </c>
      <c r="L29" t="str">
        <f>Překlady!$C$33</f>
        <v>szürke</v>
      </c>
      <c r="M29" t="s">
        <v>234</v>
      </c>
      <c r="N29">
        <v>550</v>
      </c>
      <c r="O29" s="4" t="str">
        <f t="shared" si="1"/>
        <v>szürke_sklo_ne_249_550</v>
      </c>
      <c r="P29" s="3">
        <f t="shared" si="2"/>
        <v>503056</v>
      </c>
      <c r="Q29" t="str">
        <f t="shared" si="3"/>
        <v>K-StrongMax 18 249/550mm 40kg, sötétszürke</v>
      </c>
    </row>
    <row r="30" spans="2:17" x14ac:dyDescent="0.25">
      <c r="B30" t="str">
        <f t="shared" si="0"/>
        <v>K-StrongMax 18 249/600mm 40kg, sötétszürke</v>
      </c>
      <c r="C30" s="3">
        <v>503057</v>
      </c>
      <c r="D30" s="3" t="s">
        <v>660</v>
      </c>
      <c r="E30" s="3" t="s">
        <v>660</v>
      </c>
      <c r="F30" s="3" t="s">
        <v>661</v>
      </c>
      <c r="G30" s="3" t="s">
        <v>662</v>
      </c>
      <c r="H30" s="3" t="s">
        <v>663</v>
      </c>
      <c r="I30" s="3"/>
      <c r="K30">
        <v>249</v>
      </c>
      <c r="L30" t="str">
        <f>Překlady!$C$33</f>
        <v>szürke</v>
      </c>
      <c r="M30" t="s">
        <v>234</v>
      </c>
      <c r="N30">
        <v>600</v>
      </c>
      <c r="O30" s="4" t="str">
        <f t="shared" si="1"/>
        <v>szürke_sklo_ne_249_600</v>
      </c>
      <c r="P30" s="3">
        <f t="shared" si="2"/>
        <v>503057</v>
      </c>
      <c r="Q30" t="str">
        <f t="shared" si="3"/>
        <v>K-StrongMax 18 249/600mm 40kg, sötétszürke</v>
      </c>
    </row>
    <row r="31" spans="2:17" x14ac:dyDescent="0.25">
      <c r="B31" t="str">
        <f t="shared" si="0"/>
        <v>K-StrongMax 18 249/650mm 40kg, sötétszürke</v>
      </c>
      <c r="C31" s="3">
        <v>503058</v>
      </c>
      <c r="D31" s="3" t="s">
        <v>664</v>
      </c>
      <c r="E31" s="3" t="s">
        <v>664</v>
      </c>
      <c r="F31" s="3" t="s">
        <v>665</v>
      </c>
      <c r="G31" s="3" t="s">
        <v>666</v>
      </c>
      <c r="H31" s="3" t="s">
        <v>667</v>
      </c>
      <c r="I31" s="3"/>
      <c r="K31">
        <v>249</v>
      </c>
      <c r="L31" t="str">
        <f>Překlady!$C$33</f>
        <v>szürke</v>
      </c>
      <c r="M31" t="s">
        <v>234</v>
      </c>
      <c r="N31">
        <v>650</v>
      </c>
      <c r="O31" s="4" t="str">
        <f t="shared" si="1"/>
        <v>szürke_sklo_ne_249_650</v>
      </c>
      <c r="P31" s="3">
        <f t="shared" si="2"/>
        <v>503058</v>
      </c>
      <c r="Q31" t="str">
        <f t="shared" si="3"/>
        <v>K-StrongMax 18 249/650mm 40kg, sötétszürke</v>
      </c>
    </row>
    <row r="32" spans="2:17" x14ac:dyDescent="0.25">
      <c r="B32" t="str">
        <f t="shared" si="0"/>
        <v>K-StrongMax 18 185/450mm 40kg, üvegezett oldalak, sötétszürke</v>
      </c>
      <c r="C32" s="3">
        <v>503059</v>
      </c>
      <c r="D32" s="3" t="s">
        <v>668</v>
      </c>
      <c r="E32" s="3" t="s">
        <v>669</v>
      </c>
      <c r="F32" s="3" t="s">
        <v>670</v>
      </c>
      <c r="G32" s="3" t="s">
        <v>671</v>
      </c>
      <c r="H32" s="3" t="s">
        <v>672</v>
      </c>
      <c r="I32" s="3"/>
      <c r="K32">
        <v>185</v>
      </c>
      <c r="L32" t="str">
        <f>Překlady!$C$33</f>
        <v>szürke</v>
      </c>
      <c r="M32" t="s">
        <v>229</v>
      </c>
      <c r="N32">
        <v>450</v>
      </c>
      <c r="O32" s="4" t="str">
        <f t="shared" si="1"/>
        <v>szürke_sklo_ano_185_450</v>
      </c>
      <c r="P32" s="3">
        <f t="shared" si="2"/>
        <v>503059</v>
      </c>
      <c r="Q32" t="str">
        <f t="shared" si="3"/>
        <v>K-StrongMax 18 185/450mm 40kg, üvegezett oldalak, sötétszürke</v>
      </c>
    </row>
    <row r="33" spans="2:17" x14ac:dyDescent="0.25">
      <c r="B33" t="str">
        <f t="shared" si="0"/>
        <v>K-StrongMax 18 185/500mm 40kg, üvegezett oldalak, sötétszürke</v>
      </c>
      <c r="C33" s="3">
        <v>503060</v>
      </c>
      <c r="D33" s="3" t="s">
        <v>673</v>
      </c>
      <c r="E33" s="3" t="s">
        <v>674</v>
      </c>
      <c r="F33" s="3" t="s">
        <v>675</v>
      </c>
      <c r="G33" s="3" t="s">
        <v>676</v>
      </c>
      <c r="H33" s="3" t="s">
        <v>677</v>
      </c>
      <c r="I33" s="3"/>
      <c r="K33">
        <v>185</v>
      </c>
      <c r="L33" t="str">
        <f>Překlady!$C$33</f>
        <v>szürke</v>
      </c>
      <c r="M33" t="s">
        <v>229</v>
      </c>
      <c r="N33">
        <v>500</v>
      </c>
      <c r="O33" s="4" t="str">
        <f t="shared" si="1"/>
        <v>szürke_sklo_ano_185_500</v>
      </c>
      <c r="P33" s="3">
        <f t="shared" si="2"/>
        <v>503060</v>
      </c>
      <c r="Q33" t="str">
        <f t="shared" si="3"/>
        <v>K-StrongMax 18 185/500mm 40kg, üvegezett oldalak, sötétszürke</v>
      </c>
    </row>
    <row r="34" spans="2:17" x14ac:dyDescent="0.25">
      <c r="B34" t="str">
        <f t="shared" si="0"/>
        <v>K-StrongMax 18 185/550mm 40kg, üvegezett oldalak, sötétszürke</v>
      </c>
      <c r="C34" s="3">
        <v>503061</v>
      </c>
      <c r="D34" s="3" t="s">
        <v>678</v>
      </c>
      <c r="E34" s="3" t="s">
        <v>679</v>
      </c>
      <c r="F34" s="3" t="s">
        <v>680</v>
      </c>
      <c r="G34" s="3" t="s">
        <v>681</v>
      </c>
      <c r="H34" s="3" t="s">
        <v>682</v>
      </c>
      <c r="I34" s="3"/>
      <c r="K34">
        <v>185</v>
      </c>
      <c r="L34" t="str">
        <f>Překlady!$C$33</f>
        <v>szürke</v>
      </c>
      <c r="M34" t="s">
        <v>229</v>
      </c>
      <c r="N34">
        <v>550</v>
      </c>
      <c r="O34" s="4" t="str">
        <f t="shared" si="1"/>
        <v>szürke_sklo_ano_185_550</v>
      </c>
      <c r="P34" s="3">
        <f t="shared" si="2"/>
        <v>503061</v>
      </c>
      <c r="Q34" t="str">
        <f t="shared" si="3"/>
        <v>K-StrongMax 18 185/550mm 40kg, üvegezett oldalak, sötétszürke</v>
      </c>
    </row>
    <row r="35" spans="2:17" x14ac:dyDescent="0.25">
      <c r="B35" t="str">
        <f t="shared" ref="B35:B66" si="4">IF($D$1=1,D:D,IF($D$1=2,E:E,IF($D$1=3,F:F,IF($D$1=4,G:G,IF($D$1=5,H:H)))))</f>
        <v>K-StrongMax 18 89/300mm 40kg, fehér</v>
      </c>
      <c r="C35" s="3">
        <v>503062</v>
      </c>
      <c r="D35" s="3" t="s">
        <v>683</v>
      </c>
      <c r="E35" s="3" t="s">
        <v>684</v>
      </c>
      <c r="F35" s="3" t="s">
        <v>685</v>
      </c>
      <c r="G35" s="3" t="s">
        <v>686</v>
      </c>
      <c r="H35" s="3" t="s">
        <v>687</v>
      </c>
      <c r="I35" s="3"/>
      <c r="K35">
        <v>89</v>
      </c>
      <c r="L35" s="30" t="str">
        <f>Překlady!$C$31</f>
        <v>fehér</v>
      </c>
      <c r="M35" t="s">
        <v>234</v>
      </c>
      <c r="N35">
        <v>300</v>
      </c>
      <c r="O35" s="4" t="str">
        <f t="shared" si="1"/>
        <v>fehér_sklo_ne_89_300</v>
      </c>
      <c r="P35" s="3">
        <f t="shared" si="2"/>
        <v>503062</v>
      </c>
      <c r="Q35" t="str">
        <f t="shared" si="3"/>
        <v>K-StrongMax 18 89/300mm 40kg, fehér</v>
      </c>
    </row>
    <row r="36" spans="2:17" x14ac:dyDescent="0.25">
      <c r="B36" t="str">
        <f t="shared" si="4"/>
        <v>K-StrongMax 18 89/350mm 40kg, fehér</v>
      </c>
      <c r="C36" s="3">
        <v>503063</v>
      </c>
      <c r="D36" s="3" t="s">
        <v>688</v>
      </c>
      <c r="E36" s="3" t="s">
        <v>689</v>
      </c>
      <c r="F36" s="3" t="s">
        <v>690</v>
      </c>
      <c r="G36" s="3" t="s">
        <v>691</v>
      </c>
      <c r="H36" s="3" t="s">
        <v>692</v>
      </c>
      <c r="I36" s="3"/>
      <c r="K36">
        <v>89</v>
      </c>
      <c r="L36" s="30" t="str">
        <f>Překlady!$C$31</f>
        <v>fehér</v>
      </c>
      <c r="M36" t="s">
        <v>234</v>
      </c>
      <c r="N36">
        <v>350</v>
      </c>
      <c r="O36" s="4" t="str">
        <f t="shared" si="1"/>
        <v>fehér_sklo_ne_89_350</v>
      </c>
      <c r="P36" s="3">
        <f t="shared" si="2"/>
        <v>503063</v>
      </c>
      <c r="Q36" t="str">
        <f t="shared" si="3"/>
        <v>K-StrongMax 18 89/350mm 40kg, fehér</v>
      </c>
    </row>
    <row r="37" spans="2:17" x14ac:dyDescent="0.25">
      <c r="B37" t="str">
        <f t="shared" si="4"/>
        <v>K-StrongMax 18 89/400mm 40kg, fehér</v>
      </c>
      <c r="C37" s="3">
        <v>503064</v>
      </c>
      <c r="D37" s="3" t="s">
        <v>693</v>
      </c>
      <c r="E37" s="3" t="s">
        <v>694</v>
      </c>
      <c r="F37" s="3" t="s">
        <v>695</v>
      </c>
      <c r="G37" s="3" t="s">
        <v>696</v>
      </c>
      <c r="H37" s="3" t="s">
        <v>697</v>
      </c>
      <c r="I37" s="3"/>
      <c r="K37">
        <v>89</v>
      </c>
      <c r="L37" s="30" t="str">
        <f>Překlady!$C$31</f>
        <v>fehér</v>
      </c>
      <c r="M37" t="s">
        <v>234</v>
      </c>
      <c r="N37">
        <v>400</v>
      </c>
      <c r="O37" s="4" t="str">
        <f t="shared" si="1"/>
        <v>fehér_sklo_ne_89_400</v>
      </c>
      <c r="P37" s="3">
        <f t="shared" si="2"/>
        <v>503064</v>
      </c>
      <c r="Q37" t="str">
        <f t="shared" si="3"/>
        <v>K-StrongMax 18 89/400mm 40kg, fehér</v>
      </c>
    </row>
    <row r="38" spans="2:17" x14ac:dyDescent="0.25">
      <c r="B38" t="str">
        <f t="shared" si="4"/>
        <v>K-StrongMax 18 89/450mm 40kg, fehér</v>
      </c>
      <c r="C38" s="3">
        <v>503065</v>
      </c>
      <c r="D38" s="3" t="s">
        <v>698</v>
      </c>
      <c r="E38" s="3" t="s">
        <v>699</v>
      </c>
      <c r="F38" s="3" t="s">
        <v>700</v>
      </c>
      <c r="G38" s="3" t="s">
        <v>701</v>
      </c>
      <c r="H38" s="3" t="s">
        <v>702</v>
      </c>
      <c r="I38" s="3"/>
      <c r="K38">
        <v>89</v>
      </c>
      <c r="L38" s="30" t="str">
        <f>Překlady!$C$31</f>
        <v>fehér</v>
      </c>
      <c r="M38" t="s">
        <v>234</v>
      </c>
      <c r="N38">
        <v>450</v>
      </c>
      <c r="O38" s="4" t="str">
        <f t="shared" si="1"/>
        <v>fehér_sklo_ne_89_450</v>
      </c>
      <c r="P38" s="3">
        <f t="shared" si="2"/>
        <v>503065</v>
      </c>
      <c r="Q38" t="str">
        <f t="shared" si="3"/>
        <v>K-StrongMax 18 89/450mm 40kg, fehér</v>
      </c>
    </row>
    <row r="39" spans="2:17" x14ac:dyDescent="0.25">
      <c r="B39" t="str">
        <f t="shared" si="4"/>
        <v>K-StrongMax 18 89/500mm 40kg, fehér</v>
      </c>
      <c r="C39" s="3">
        <v>503066</v>
      </c>
      <c r="D39" s="3" t="s">
        <v>703</v>
      </c>
      <c r="E39" s="3" t="s">
        <v>704</v>
      </c>
      <c r="F39" s="3" t="s">
        <v>705</v>
      </c>
      <c r="G39" s="3" t="s">
        <v>706</v>
      </c>
      <c r="H39" s="3" t="s">
        <v>707</v>
      </c>
      <c r="I39" s="3"/>
      <c r="K39">
        <v>89</v>
      </c>
      <c r="L39" s="30" t="str">
        <f>Překlady!$C$31</f>
        <v>fehér</v>
      </c>
      <c r="M39" t="s">
        <v>234</v>
      </c>
      <c r="N39">
        <v>500</v>
      </c>
      <c r="O39" s="4" t="str">
        <f t="shared" si="1"/>
        <v>fehér_sklo_ne_89_500</v>
      </c>
      <c r="P39" s="3">
        <f t="shared" si="2"/>
        <v>503066</v>
      </c>
      <c r="Q39" t="str">
        <f t="shared" si="3"/>
        <v>K-StrongMax 18 89/500mm 40kg, fehér</v>
      </c>
    </row>
    <row r="40" spans="2:17" x14ac:dyDescent="0.25">
      <c r="B40" t="str">
        <f t="shared" si="4"/>
        <v>K-StrongMax 18 89/550mm 40kg, fehér</v>
      </c>
      <c r="C40" s="3">
        <v>503067</v>
      </c>
      <c r="D40" s="3" t="s">
        <v>708</v>
      </c>
      <c r="E40" s="3" t="s">
        <v>709</v>
      </c>
      <c r="F40" s="3" t="s">
        <v>710</v>
      </c>
      <c r="G40" s="3" t="s">
        <v>711</v>
      </c>
      <c r="H40" s="3" t="s">
        <v>712</v>
      </c>
      <c r="I40" s="3"/>
      <c r="K40">
        <v>89</v>
      </c>
      <c r="L40" s="30" t="str">
        <f>Překlady!$C$31</f>
        <v>fehér</v>
      </c>
      <c r="M40" t="s">
        <v>234</v>
      </c>
      <c r="N40">
        <v>550</v>
      </c>
      <c r="O40" s="4" t="str">
        <f t="shared" si="1"/>
        <v>fehér_sklo_ne_89_550</v>
      </c>
      <c r="P40" s="3">
        <f t="shared" si="2"/>
        <v>503067</v>
      </c>
      <c r="Q40" t="str">
        <f t="shared" si="3"/>
        <v>K-StrongMax 18 89/550mm 40kg, fehér</v>
      </c>
    </row>
    <row r="41" spans="2:17" x14ac:dyDescent="0.25">
      <c r="B41" t="str">
        <f t="shared" si="4"/>
        <v>K-StrongMax 18 89/600mm 40kg, fehér</v>
      </c>
      <c r="C41" s="3">
        <v>503068</v>
      </c>
      <c r="D41" s="3" t="s">
        <v>713</v>
      </c>
      <c r="E41" s="3" t="s">
        <v>714</v>
      </c>
      <c r="F41" s="3" t="s">
        <v>715</v>
      </c>
      <c r="G41" s="3" t="s">
        <v>716</v>
      </c>
      <c r="H41" s="3" t="s">
        <v>717</v>
      </c>
      <c r="I41" s="3"/>
      <c r="K41">
        <v>89</v>
      </c>
      <c r="L41" s="30" t="str">
        <f>Překlady!$C$31</f>
        <v>fehér</v>
      </c>
      <c r="M41" t="s">
        <v>234</v>
      </c>
      <c r="N41">
        <v>600</v>
      </c>
      <c r="O41" s="4" t="str">
        <f t="shared" si="1"/>
        <v>fehér_sklo_ne_89_600</v>
      </c>
      <c r="P41" s="3">
        <f t="shared" si="2"/>
        <v>503068</v>
      </c>
      <c r="Q41" t="str">
        <f t="shared" si="3"/>
        <v>K-StrongMax 18 89/600mm 40kg, fehér</v>
      </c>
    </row>
    <row r="42" spans="2:17" x14ac:dyDescent="0.25">
      <c r="B42" t="str">
        <f t="shared" si="4"/>
        <v>K-StrongMax 18 89/650mm 40kg, fehér</v>
      </c>
      <c r="C42" s="3">
        <v>503069</v>
      </c>
      <c r="D42" s="3" t="s">
        <v>718</v>
      </c>
      <c r="E42" s="3" t="s">
        <v>719</v>
      </c>
      <c r="F42" s="3" t="s">
        <v>720</v>
      </c>
      <c r="G42" s="3" t="s">
        <v>721</v>
      </c>
      <c r="H42" s="3" t="s">
        <v>722</v>
      </c>
      <c r="I42" s="3"/>
      <c r="K42">
        <v>89</v>
      </c>
      <c r="L42" s="30" t="str">
        <f>Překlady!$C$31</f>
        <v>fehér</v>
      </c>
      <c r="M42" t="s">
        <v>234</v>
      </c>
      <c r="N42">
        <v>650</v>
      </c>
      <c r="O42" s="4" t="str">
        <f t="shared" si="1"/>
        <v>fehér_sklo_ne_89_650</v>
      </c>
      <c r="P42" s="3">
        <f t="shared" si="2"/>
        <v>503069</v>
      </c>
      <c r="Q42" t="str">
        <f t="shared" si="3"/>
        <v>K-StrongMax 18 89/650mm 40kg, fehér</v>
      </c>
    </row>
    <row r="43" spans="2:17" x14ac:dyDescent="0.25">
      <c r="B43" t="str">
        <f t="shared" si="4"/>
        <v>K-StrongMax 18 121/300mm 40kg, fehér</v>
      </c>
      <c r="C43" s="3">
        <v>503070</v>
      </c>
      <c r="D43" s="3" t="s">
        <v>723</v>
      </c>
      <c r="E43" s="3" t="s">
        <v>724</v>
      </c>
      <c r="F43" s="3" t="s">
        <v>725</v>
      </c>
      <c r="G43" s="3" t="s">
        <v>726</v>
      </c>
      <c r="H43" s="3" t="s">
        <v>727</v>
      </c>
      <c r="I43" s="3"/>
      <c r="K43">
        <v>121</v>
      </c>
      <c r="L43" s="30" t="str">
        <f>Překlady!$C$31</f>
        <v>fehér</v>
      </c>
      <c r="M43" t="s">
        <v>234</v>
      </c>
      <c r="N43">
        <v>300</v>
      </c>
      <c r="O43" s="4" t="str">
        <f t="shared" si="1"/>
        <v>fehér_sklo_ne_121_300</v>
      </c>
      <c r="P43" s="3">
        <f t="shared" si="2"/>
        <v>503070</v>
      </c>
      <c r="Q43" t="str">
        <f t="shared" si="3"/>
        <v>K-StrongMax 18 121/300mm 40kg, fehér</v>
      </c>
    </row>
    <row r="44" spans="2:17" x14ac:dyDescent="0.25">
      <c r="B44" t="str">
        <f t="shared" si="4"/>
        <v>K-StrongMax 18 121/350mm 40kg, fehér</v>
      </c>
      <c r="C44" s="3">
        <v>503071</v>
      </c>
      <c r="D44" s="3" t="s">
        <v>728</v>
      </c>
      <c r="E44" s="3" t="s">
        <v>729</v>
      </c>
      <c r="F44" s="3" t="s">
        <v>730</v>
      </c>
      <c r="G44" s="3" t="s">
        <v>731</v>
      </c>
      <c r="H44" s="3" t="s">
        <v>732</v>
      </c>
      <c r="I44" s="3"/>
      <c r="K44">
        <v>121</v>
      </c>
      <c r="L44" s="30" t="str">
        <f>Překlady!$C$31</f>
        <v>fehér</v>
      </c>
      <c r="M44" t="s">
        <v>234</v>
      </c>
      <c r="N44">
        <v>350</v>
      </c>
      <c r="O44" s="4" t="str">
        <f t="shared" si="1"/>
        <v>fehér_sklo_ne_121_350</v>
      </c>
      <c r="P44" s="3">
        <f t="shared" si="2"/>
        <v>503071</v>
      </c>
      <c r="Q44" t="str">
        <f t="shared" si="3"/>
        <v>K-StrongMax 18 121/350mm 40kg, fehér</v>
      </c>
    </row>
    <row r="45" spans="2:17" x14ac:dyDescent="0.25">
      <c r="B45" t="str">
        <f t="shared" si="4"/>
        <v>K-StrongMax 18 121/400mm 40kg, fehér</v>
      </c>
      <c r="C45" s="3">
        <v>503072</v>
      </c>
      <c r="D45" s="3" t="s">
        <v>733</v>
      </c>
      <c r="E45" s="3" t="s">
        <v>734</v>
      </c>
      <c r="F45" s="3" t="s">
        <v>735</v>
      </c>
      <c r="G45" s="3" t="s">
        <v>736</v>
      </c>
      <c r="H45" s="3" t="s">
        <v>737</v>
      </c>
      <c r="I45" s="3"/>
      <c r="K45">
        <v>121</v>
      </c>
      <c r="L45" s="30" t="str">
        <f>Překlady!$C$31</f>
        <v>fehér</v>
      </c>
      <c r="M45" t="s">
        <v>234</v>
      </c>
      <c r="N45">
        <v>400</v>
      </c>
      <c r="O45" s="4" t="str">
        <f t="shared" si="1"/>
        <v>fehér_sklo_ne_121_400</v>
      </c>
      <c r="P45" s="3">
        <f t="shared" si="2"/>
        <v>503072</v>
      </c>
      <c r="Q45" t="str">
        <f t="shared" si="3"/>
        <v>K-StrongMax 18 121/400mm 40kg, fehér</v>
      </c>
    </row>
    <row r="46" spans="2:17" x14ac:dyDescent="0.25">
      <c r="B46" t="str">
        <f t="shared" si="4"/>
        <v>K-StrongMax 18 121/450mm 40kg, fehér</v>
      </c>
      <c r="C46" s="3">
        <v>503073</v>
      </c>
      <c r="D46" s="3" t="s">
        <v>738</v>
      </c>
      <c r="E46" s="3" t="s">
        <v>739</v>
      </c>
      <c r="F46" s="3" t="s">
        <v>740</v>
      </c>
      <c r="G46" s="3" t="s">
        <v>741</v>
      </c>
      <c r="H46" s="3" t="s">
        <v>742</v>
      </c>
      <c r="I46" s="3"/>
      <c r="K46">
        <v>121</v>
      </c>
      <c r="L46" s="30" t="str">
        <f>Překlady!$C$31</f>
        <v>fehér</v>
      </c>
      <c r="M46" t="s">
        <v>234</v>
      </c>
      <c r="N46">
        <v>450</v>
      </c>
      <c r="O46" s="4" t="str">
        <f t="shared" si="1"/>
        <v>fehér_sklo_ne_121_450</v>
      </c>
      <c r="P46" s="3">
        <f t="shared" si="2"/>
        <v>503073</v>
      </c>
      <c r="Q46" t="str">
        <f t="shared" si="3"/>
        <v>K-StrongMax 18 121/450mm 40kg, fehér</v>
      </c>
    </row>
    <row r="47" spans="2:17" x14ac:dyDescent="0.25">
      <c r="B47" t="str">
        <f t="shared" si="4"/>
        <v>K-StrongMax 18 121/500mm 40kg, fehér</v>
      </c>
      <c r="C47" s="3">
        <v>503074</v>
      </c>
      <c r="D47" s="3" t="s">
        <v>743</v>
      </c>
      <c r="E47" s="3" t="s">
        <v>744</v>
      </c>
      <c r="F47" s="3" t="s">
        <v>745</v>
      </c>
      <c r="G47" s="3" t="s">
        <v>746</v>
      </c>
      <c r="H47" s="3" t="s">
        <v>747</v>
      </c>
      <c r="I47" s="3"/>
      <c r="K47">
        <v>121</v>
      </c>
      <c r="L47" s="30" t="str">
        <f>Překlady!$C$31</f>
        <v>fehér</v>
      </c>
      <c r="M47" t="s">
        <v>234</v>
      </c>
      <c r="N47">
        <v>500</v>
      </c>
      <c r="O47" s="4" t="str">
        <f t="shared" si="1"/>
        <v>fehér_sklo_ne_121_500</v>
      </c>
      <c r="P47" s="3">
        <f t="shared" si="2"/>
        <v>503074</v>
      </c>
      <c r="Q47" t="str">
        <f t="shared" si="3"/>
        <v>K-StrongMax 18 121/500mm 40kg, fehér</v>
      </c>
    </row>
    <row r="48" spans="2:17" x14ac:dyDescent="0.25">
      <c r="B48" t="str">
        <f t="shared" si="4"/>
        <v>K-StrongMax 18 121/550mm 40kg, fehér</v>
      </c>
      <c r="C48" s="3">
        <v>503075</v>
      </c>
      <c r="D48" s="3" t="s">
        <v>748</v>
      </c>
      <c r="E48" s="3" t="s">
        <v>749</v>
      </c>
      <c r="F48" s="3" t="s">
        <v>750</v>
      </c>
      <c r="G48" s="3" t="s">
        <v>751</v>
      </c>
      <c r="H48" s="3" t="s">
        <v>752</v>
      </c>
      <c r="I48" s="3"/>
      <c r="K48">
        <v>121</v>
      </c>
      <c r="L48" s="30" t="str">
        <f>Překlady!$C$31</f>
        <v>fehér</v>
      </c>
      <c r="M48" t="s">
        <v>234</v>
      </c>
      <c r="N48">
        <v>550</v>
      </c>
      <c r="O48" s="4" t="str">
        <f t="shared" si="1"/>
        <v>fehér_sklo_ne_121_550</v>
      </c>
      <c r="P48" s="3">
        <f t="shared" si="2"/>
        <v>503075</v>
      </c>
      <c r="Q48" t="str">
        <f t="shared" si="3"/>
        <v>K-StrongMax 18 121/550mm 40kg, fehér</v>
      </c>
    </row>
    <row r="49" spans="2:17" x14ac:dyDescent="0.25">
      <c r="B49" t="str">
        <f t="shared" si="4"/>
        <v>K-StrongMax 18 121/600mm 40kg, fehér</v>
      </c>
      <c r="C49" s="3">
        <v>503076</v>
      </c>
      <c r="D49" s="3" t="s">
        <v>753</v>
      </c>
      <c r="E49" s="3" t="s">
        <v>754</v>
      </c>
      <c r="F49" s="3" t="s">
        <v>755</v>
      </c>
      <c r="G49" s="3" t="s">
        <v>756</v>
      </c>
      <c r="H49" s="3" t="s">
        <v>757</v>
      </c>
      <c r="I49" s="3"/>
      <c r="K49">
        <v>121</v>
      </c>
      <c r="L49" s="30" t="str">
        <f>Překlady!$C$31</f>
        <v>fehér</v>
      </c>
      <c r="M49" t="s">
        <v>234</v>
      </c>
      <c r="N49">
        <v>600</v>
      </c>
      <c r="O49" s="4" t="str">
        <f t="shared" si="1"/>
        <v>fehér_sklo_ne_121_600</v>
      </c>
      <c r="P49" s="3">
        <f t="shared" si="2"/>
        <v>503076</v>
      </c>
      <c r="Q49" t="str">
        <f t="shared" si="3"/>
        <v>K-StrongMax 18 121/600mm 40kg, fehér</v>
      </c>
    </row>
    <row r="50" spans="2:17" x14ac:dyDescent="0.25">
      <c r="B50" t="str">
        <f t="shared" si="4"/>
        <v>K-StrongMax 18 121/650mm 40kg, fehér</v>
      </c>
      <c r="C50" s="3">
        <v>503077</v>
      </c>
      <c r="D50" s="3" t="s">
        <v>758</v>
      </c>
      <c r="E50" s="3" t="s">
        <v>759</v>
      </c>
      <c r="F50" s="3" t="s">
        <v>760</v>
      </c>
      <c r="G50" s="3" t="s">
        <v>761</v>
      </c>
      <c r="H50" s="3" t="s">
        <v>762</v>
      </c>
      <c r="I50" s="3"/>
      <c r="K50">
        <v>121</v>
      </c>
      <c r="L50" s="30" t="str">
        <f>Překlady!$C$31</f>
        <v>fehér</v>
      </c>
      <c r="M50" t="s">
        <v>234</v>
      </c>
      <c r="N50">
        <v>650</v>
      </c>
      <c r="O50" s="4" t="str">
        <f t="shared" si="1"/>
        <v>fehér_sklo_ne_121_650</v>
      </c>
      <c r="P50" s="3">
        <f t="shared" si="2"/>
        <v>503077</v>
      </c>
      <c r="Q50" t="str">
        <f t="shared" si="3"/>
        <v>K-StrongMax 18 121/650mm 40kg, fehér</v>
      </c>
    </row>
    <row r="51" spans="2:17" x14ac:dyDescent="0.25">
      <c r="B51" t="str">
        <f t="shared" si="4"/>
        <v>K-StrongMax 18 185/300mm 40kg, fehér</v>
      </c>
      <c r="C51" s="3">
        <v>503078</v>
      </c>
      <c r="D51" s="3" t="s">
        <v>763</v>
      </c>
      <c r="E51" s="3" t="s">
        <v>764</v>
      </c>
      <c r="F51" s="3" t="s">
        <v>765</v>
      </c>
      <c r="G51" s="3" t="s">
        <v>766</v>
      </c>
      <c r="H51" s="3" t="s">
        <v>767</v>
      </c>
      <c r="I51" s="3"/>
      <c r="K51">
        <v>185</v>
      </c>
      <c r="L51" s="30" t="str">
        <f>Překlady!$C$31</f>
        <v>fehér</v>
      </c>
      <c r="M51" t="s">
        <v>234</v>
      </c>
      <c r="N51">
        <v>300</v>
      </c>
      <c r="O51" s="4" t="str">
        <f t="shared" si="1"/>
        <v>fehér_sklo_ne_185_300</v>
      </c>
      <c r="P51" s="3">
        <f t="shared" si="2"/>
        <v>503078</v>
      </c>
      <c r="Q51" t="str">
        <f t="shared" si="3"/>
        <v>K-StrongMax 18 185/300mm 40kg, fehér</v>
      </c>
    </row>
    <row r="52" spans="2:17" x14ac:dyDescent="0.25">
      <c r="B52" t="str">
        <f t="shared" si="4"/>
        <v>K-StrongMax 18 185/350mm 40kg, fehér</v>
      </c>
      <c r="C52" s="3">
        <v>503079</v>
      </c>
      <c r="D52" s="3" t="s">
        <v>768</v>
      </c>
      <c r="E52" s="3" t="s">
        <v>769</v>
      </c>
      <c r="F52" s="3" t="s">
        <v>770</v>
      </c>
      <c r="G52" s="3" t="s">
        <v>771</v>
      </c>
      <c r="H52" s="3" t="s">
        <v>772</v>
      </c>
      <c r="I52" s="3"/>
      <c r="K52">
        <v>185</v>
      </c>
      <c r="L52" s="30" t="str">
        <f>Překlady!$C$31</f>
        <v>fehér</v>
      </c>
      <c r="M52" t="s">
        <v>234</v>
      </c>
      <c r="N52">
        <v>350</v>
      </c>
      <c r="O52" s="4" t="str">
        <f t="shared" si="1"/>
        <v>fehér_sklo_ne_185_350</v>
      </c>
      <c r="P52" s="3">
        <f t="shared" si="2"/>
        <v>503079</v>
      </c>
      <c r="Q52" t="str">
        <f t="shared" si="3"/>
        <v>K-StrongMax 18 185/350mm 40kg, fehér</v>
      </c>
    </row>
    <row r="53" spans="2:17" x14ac:dyDescent="0.25">
      <c r="B53" t="str">
        <f t="shared" si="4"/>
        <v>K-StrongMax 18 185/400mm 40kg, fehér</v>
      </c>
      <c r="C53" s="3">
        <v>503080</v>
      </c>
      <c r="D53" s="3" t="s">
        <v>773</v>
      </c>
      <c r="E53" s="3" t="s">
        <v>774</v>
      </c>
      <c r="F53" s="3" t="s">
        <v>775</v>
      </c>
      <c r="G53" s="3" t="s">
        <v>776</v>
      </c>
      <c r="H53" s="3" t="s">
        <v>777</v>
      </c>
      <c r="I53" s="3"/>
      <c r="K53">
        <v>185</v>
      </c>
      <c r="L53" s="30" t="str">
        <f>Překlady!$C$31</f>
        <v>fehér</v>
      </c>
      <c r="M53" t="s">
        <v>234</v>
      </c>
      <c r="N53">
        <v>400</v>
      </c>
      <c r="O53" s="4" t="str">
        <f t="shared" si="1"/>
        <v>fehér_sklo_ne_185_400</v>
      </c>
      <c r="P53" s="3">
        <f t="shared" si="2"/>
        <v>503080</v>
      </c>
      <c r="Q53" t="str">
        <f t="shared" si="3"/>
        <v>K-StrongMax 18 185/400mm 40kg, fehér</v>
      </c>
    </row>
    <row r="54" spans="2:17" x14ac:dyDescent="0.25">
      <c r="B54" t="str">
        <f t="shared" si="4"/>
        <v>K-StrongMax 18 185/450mm 40kg, fehér</v>
      </c>
      <c r="C54" s="3">
        <v>503081</v>
      </c>
      <c r="D54" s="3" t="s">
        <v>778</v>
      </c>
      <c r="E54" s="3" t="s">
        <v>779</v>
      </c>
      <c r="F54" s="3" t="s">
        <v>780</v>
      </c>
      <c r="G54" s="3" t="s">
        <v>781</v>
      </c>
      <c r="H54" s="3" t="s">
        <v>782</v>
      </c>
      <c r="I54" s="3"/>
      <c r="K54">
        <v>185</v>
      </c>
      <c r="L54" s="30" t="str">
        <f>Překlady!$C$31</f>
        <v>fehér</v>
      </c>
      <c r="M54" t="s">
        <v>234</v>
      </c>
      <c r="N54">
        <v>450</v>
      </c>
      <c r="O54" s="4" t="str">
        <f t="shared" si="1"/>
        <v>fehér_sklo_ne_185_450</v>
      </c>
      <c r="P54" s="3">
        <f t="shared" si="2"/>
        <v>503081</v>
      </c>
      <c r="Q54" t="str">
        <f t="shared" si="3"/>
        <v>K-StrongMax 18 185/450mm 40kg, fehér</v>
      </c>
    </row>
    <row r="55" spans="2:17" x14ac:dyDescent="0.25">
      <c r="B55" t="str">
        <f t="shared" si="4"/>
        <v>K-StrongMax 18 185/500mm 40kg, fehér</v>
      </c>
      <c r="C55" s="3">
        <v>503082</v>
      </c>
      <c r="D55" s="3" t="s">
        <v>783</v>
      </c>
      <c r="E55" s="3" t="s">
        <v>784</v>
      </c>
      <c r="F55" s="3" t="s">
        <v>785</v>
      </c>
      <c r="G55" s="3" t="s">
        <v>786</v>
      </c>
      <c r="H55" s="3" t="s">
        <v>787</v>
      </c>
      <c r="I55" s="3"/>
      <c r="K55">
        <v>185</v>
      </c>
      <c r="L55" s="30" t="str">
        <f>Překlady!$C$31</f>
        <v>fehér</v>
      </c>
      <c r="M55" t="s">
        <v>234</v>
      </c>
      <c r="N55">
        <v>500</v>
      </c>
      <c r="O55" s="4" t="str">
        <f t="shared" si="1"/>
        <v>fehér_sklo_ne_185_500</v>
      </c>
      <c r="P55" s="3">
        <f t="shared" si="2"/>
        <v>503082</v>
      </c>
      <c r="Q55" t="str">
        <f t="shared" si="3"/>
        <v>K-StrongMax 18 185/500mm 40kg, fehér</v>
      </c>
    </row>
    <row r="56" spans="2:17" x14ac:dyDescent="0.25">
      <c r="B56" t="str">
        <f t="shared" si="4"/>
        <v>K-StrongMax 18 185/550mm 40kg, fehér</v>
      </c>
      <c r="C56" s="3">
        <v>503083</v>
      </c>
      <c r="D56" s="3" t="s">
        <v>788</v>
      </c>
      <c r="E56" s="3" t="s">
        <v>789</v>
      </c>
      <c r="F56" s="3" t="s">
        <v>790</v>
      </c>
      <c r="G56" s="3" t="s">
        <v>791</v>
      </c>
      <c r="H56" s="3" t="s">
        <v>792</v>
      </c>
      <c r="I56" s="3"/>
      <c r="K56">
        <v>185</v>
      </c>
      <c r="L56" s="30" t="str">
        <f>Překlady!$C$31</f>
        <v>fehér</v>
      </c>
      <c r="M56" t="s">
        <v>234</v>
      </c>
      <c r="N56">
        <v>550</v>
      </c>
      <c r="O56" s="4" t="str">
        <f t="shared" si="1"/>
        <v>fehér_sklo_ne_185_550</v>
      </c>
      <c r="P56" s="3">
        <f t="shared" si="2"/>
        <v>503083</v>
      </c>
      <c r="Q56" t="str">
        <f t="shared" si="3"/>
        <v>K-StrongMax 18 185/550mm 40kg, fehér</v>
      </c>
    </row>
    <row r="57" spans="2:17" x14ac:dyDescent="0.25">
      <c r="B57" t="str">
        <f t="shared" si="4"/>
        <v>K-StrongMax 18 185/600mm 40kg, fehér</v>
      </c>
      <c r="C57" s="3">
        <v>503084</v>
      </c>
      <c r="D57" s="3" t="s">
        <v>793</v>
      </c>
      <c r="E57" s="3" t="s">
        <v>794</v>
      </c>
      <c r="F57" s="3" t="s">
        <v>795</v>
      </c>
      <c r="G57" s="3" t="s">
        <v>796</v>
      </c>
      <c r="H57" s="3" t="s">
        <v>797</v>
      </c>
      <c r="I57" s="3"/>
      <c r="K57">
        <v>185</v>
      </c>
      <c r="L57" s="30" t="str">
        <f>Překlady!$C$31</f>
        <v>fehér</v>
      </c>
      <c r="M57" t="s">
        <v>234</v>
      </c>
      <c r="N57">
        <v>600</v>
      </c>
      <c r="O57" s="4" t="str">
        <f t="shared" si="1"/>
        <v>fehér_sklo_ne_185_600</v>
      </c>
      <c r="P57" s="3">
        <f t="shared" si="2"/>
        <v>503084</v>
      </c>
      <c r="Q57" t="str">
        <f t="shared" si="3"/>
        <v>K-StrongMax 18 185/600mm 40kg, fehér</v>
      </c>
    </row>
    <row r="58" spans="2:17" x14ac:dyDescent="0.25">
      <c r="B58" t="str">
        <f t="shared" si="4"/>
        <v>K-StrongMax 18 185/650mm 40kg, fehér</v>
      </c>
      <c r="C58" s="3">
        <v>503085</v>
      </c>
      <c r="D58" s="3" t="s">
        <v>798</v>
      </c>
      <c r="E58" s="3" t="s">
        <v>799</v>
      </c>
      <c r="F58" s="3" t="s">
        <v>800</v>
      </c>
      <c r="G58" s="3" t="s">
        <v>801</v>
      </c>
      <c r="H58" s="3" t="s">
        <v>802</v>
      </c>
      <c r="I58" s="3"/>
      <c r="K58">
        <v>185</v>
      </c>
      <c r="L58" s="30" t="str">
        <f>Překlady!$C$31</f>
        <v>fehér</v>
      </c>
      <c r="M58" t="s">
        <v>234</v>
      </c>
      <c r="N58">
        <v>650</v>
      </c>
      <c r="O58" s="4" t="str">
        <f t="shared" si="1"/>
        <v>fehér_sklo_ne_185_650</v>
      </c>
      <c r="P58" s="3">
        <f t="shared" si="2"/>
        <v>503085</v>
      </c>
      <c r="Q58" t="str">
        <f t="shared" si="3"/>
        <v>K-StrongMax 18 185/650mm 40kg, fehér</v>
      </c>
    </row>
    <row r="59" spans="2:17" x14ac:dyDescent="0.25">
      <c r="B59" t="str">
        <f t="shared" si="4"/>
        <v>K-StrongMax 18 249/450mm 40kg, fehér</v>
      </c>
      <c r="C59" s="3">
        <v>503086</v>
      </c>
      <c r="D59" s="3" t="s">
        <v>803</v>
      </c>
      <c r="E59" s="3" t="s">
        <v>804</v>
      </c>
      <c r="F59" s="3" t="s">
        <v>805</v>
      </c>
      <c r="G59" s="3" t="s">
        <v>806</v>
      </c>
      <c r="H59" s="3" t="s">
        <v>807</v>
      </c>
      <c r="I59" s="3"/>
      <c r="K59">
        <v>249</v>
      </c>
      <c r="L59" s="30" t="str">
        <f>Překlady!$C$31</f>
        <v>fehér</v>
      </c>
      <c r="M59" t="s">
        <v>234</v>
      </c>
      <c r="N59">
        <v>450</v>
      </c>
      <c r="O59" s="4" t="str">
        <f t="shared" si="1"/>
        <v>fehér_sklo_ne_249_450</v>
      </c>
      <c r="P59" s="3">
        <f t="shared" si="2"/>
        <v>503086</v>
      </c>
      <c r="Q59" t="str">
        <f t="shared" si="3"/>
        <v>K-StrongMax 18 249/450mm 40kg, fehér</v>
      </c>
    </row>
    <row r="60" spans="2:17" x14ac:dyDescent="0.25">
      <c r="B60" t="str">
        <f t="shared" si="4"/>
        <v>K-StrongMax 18 249/500mm 40kg, fehér</v>
      </c>
      <c r="C60" s="3">
        <v>503087</v>
      </c>
      <c r="D60" s="3" t="s">
        <v>808</v>
      </c>
      <c r="E60" s="3" t="s">
        <v>809</v>
      </c>
      <c r="F60" s="3" t="s">
        <v>810</v>
      </c>
      <c r="G60" s="3" t="s">
        <v>811</v>
      </c>
      <c r="H60" s="3" t="s">
        <v>812</v>
      </c>
      <c r="I60" s="3"/>
      <c r="K60">
        <v>249</v>
      </c>
      <c r="L60" s="30" t="str">
        <f>Překlady!$C$31</f>
        <v>fehér</v>
      </c>
      <c r="M60" t="s">
        <v>234</v>
      </c>
      <c r="N60">
        <v>500</v>
      </c>
      <c r="O60" s="4" t="str">
        <f t="shared" si="1"/>
        <v>fehér_sklo_ne_249_500</v>
      </c>
      <c r="P60" s="3">
        <f t="shared" si="2"/>
        <v>503087</v>
      </c>
      <c r="Q60" t="str">
        <f t="shared" si="3"/>
        <v>K-StrongMax 18 249/500mm 40kg, fehér</v>
      </c>
    </row>
    <row r="61" spans="2:17" x14ac:dyDescent="0.25">
      <c r="B61" t="str">
        <f t="shared" si="4"/>
        <v>K-StrongMax 18 249/550mm 40kg, fehér</v>
      </c>
      <c r="C61" s="3">
        <v>503088</v>
      </c>
      <c r="D61" s="3" t="s">
        <v>813</v>
      </c>
      <c r="E61" s="3" t="s">
        <v>814</v>
      </c>
      <c r="F61" s="3" t="s">
        <v>815</v>
      </c>
      <c r="G61" s="3" t="s">
        <v>816</v>
      </c>
      <c r="H61" s="3" t="s">
        <v>817</v>
      </c>
      <c r="I61" s="3"/>
      <c r="K61">
        <v>249</v>
      </c>
      <c r="L61" s="30" t="str">
        <f>Překlady!$C$31</f>
        <v>fehér</v>
      </c>
      <c r="M61" t="s">
        <v>234</v>
      </c>
      <c r="N61">
        <v>550</v>
      </c>
      <c r="O61" s="4" t="str">
        <f t="shared" si="1"/>
        <v>fehér_sklo_ne_249_550</v>
      </c>
      <c r="P61" s="3">
        <f t="shared" si="2"/>
        <v>503088</v>
      </c>
      <c r="Q61" t="str">
        <f t="shared" si="3"/>
        <v>K-StrongMax 18 249/550mm 40kg, fehér</v>
      </c>
    </row>
    <row r="62" spans="2:17" x14ac:dyDescent="0.25">
      <c r="B62" t="str">
        <f t="shared" si="4"/>
        <v>K-StrongMax 18 249/600mm 40kg, fehér</v>
      </c>
      <c r="C62" s="3">
        <v>503089</v>
      </c>
      <c r="D62" s="3" t="s">
        <v>818</v>
      </c>
      <c r="E62" s="3" t="s">
        <v>819</v>
      </c>
      <c r="F62" s="3" t="s">
        <v>820</v>
      </c>
      <c r="G62" s="3" t="s">
        <v>821</v>
      </c>
      <c r="H62" s="3" t="s">
        <v>822</v>
      </c>
      <c r="I62" s="3"/>
      <c r="K62">
        <v>249</v>
      </c>
      <c r="L62" s="30" t="str">
        <f>Překlady!$C$31</f>
        <v>fehér</v>
      </c>
      <c r="M62" t="s">
        <v>234</v>
      </c>
      <c r="N62">
        <v>600</v>
      </c>
      <c r="O62" s="4" t="str">
        <f t="shared" si="1"/>
        <v>fehér_sklo_ne_249_600</v>
      </c>
      <c r="P62" s="3">
        <f t="shared" si="2"/>
        <v>503089</v>
      </c>
      <c r="Q62" t="str">
        <f t="shared" si="3"/>
        <v>K-StrongMax 18 249/600mm 40kg, fehér</v>
      </c>
    </row>
    <row r="63" spans="2:17" x14ac:dyDescent="0.25">
      <c r="B63" t="str">
        <f t="shared" si="4"/>
        <v>K-StrongMax 18 249/650mm 40kg, fehér</v>
      </c>
      <c r="C63" s="3">
        <v>503090</v>
      </c>
      <c r="D63" s="3" t="s">
        <v>823</v>
      </c>
      <c r="E63" s="3" t="s">
        <v>824</v>
      </c>
      <c r="F63" s="3" t="s">
        <v>825</v>
      </c>
      <c r="G63" s="3" t="s">
        <v>826</v>
      </c>
      <c r="H63" s="3" t="s">
        <v>827</v>
      </c>
      <c r="I63" s="3"/>
      <c r="K63">
        <v>249</v>
      </c>
      <c r="L63" s="30" t="str">
        <f>Překlady!$C$31</f>
        <v>fehér</v>
      </c>
      <c r="M63" t="s">
        <v>234</v>
      </c>
      <c r="N63">
        <v>650</v>
      </c>
      <c r="O63" s="4" t="str">
        <f t="shared" si="1"/>
        <v>fehér_sklo_ne_249_650</v>
      </c>
      <c r="P63" s="3">
        <f t="shared" si="2"/>
        <v>503090</v>
      </c>
      <c r="Q63" t="str">
        <f t="shared" si="3"/>
        <v>K-StrongMax 18 249/650mm 40kg, fehér</v>
      </c>
    </row>
    <row r="64" spans="2:17" x14ac:dyDescent="0.25">
      <c r="B64" t="str">
        <f t="shared" si="4"/>
        <v>K-StrongMax 18 185/450mm 40kg, üveg oldalak, fehér</v>
      </c>
      <c r="C64" s="3">
        <v>503091</v>
      </c>
      <c r="D64" s="3" t="s">
        <v>828</v>
      </c>
      <c r="E64" s="3" t="s">
        <v>829</v>
      </c>
      <c r="F64" s="3" t="s">
        <v>830</v>
      </c>
      <c r="G64" s="3" t="s">
        <v>831</v>
      </c>
      <c r="H64" s="3" t="s">
        <v>832</v>
      </c>
      <c r="I64" s="3"/>
      <c r="K64">
        <v>185</v>
      </c>
      <c r="L64" s="30" t="str">
        <f>Překlady!$C$31</f>
        <v>fehér</v>
      </c>
      <c r="M64" t="s">
        <v>229</v>
      </c>
      <c r="N64">
        <v>450</v>
      </c>
      <c r="O64" s="4" t="str">
        <f t="shared" si="1"/>
        <v>fehér_sklo_ano_185_450</v>
      </c>
      <c r="P64" s="3">
        <f t="shared" si="2"/>
        <v>503091</v>
      </c>
      <c r="Q64" t="str">
        <f t="shared" si="3"/>
        <v>K-StrongMax 18 185/450mm 40kg, üveg oldalak, fehér</v>
      </c>
    </row>
    <row r="65" spans="2:17" x14ac:dyDescent="0.25">
      <c r="B65" t="str">
        <f t="shared" si="4"/>
        <v>K-StrongMax 18 185/500mm 40kg, üvegezett oldalak, fehér</v>
      </c>
      <c r="C65" s="3">
        <v>503092</v>
      </c>
      <c r="D65" s="3" t="s">
        <v>833</v>
      </c>
      <c r="E65" s="3" t="s">
        <v>834</v>
      </c>
      <c r="F65" s="3" t="s">
        <v>835</v>
      </c>
      <c r="G65" s="3" t="s">
        <v>836</v>
      </c>
      <c r="H65" s="3" t="s">
        <v>837</v>
      </c>
      <c r="I65" s="3"/>
      <c r="K65">
        <v>185</v>
      </c>
      <c r="L65" s="30" t="str">
        <f>Překlady!$C$31</f>
        <v>fehér</v>
      </c>
      <c r="M65" t="s">
        <v>229</v>
      </c>
      <c r="N65">
        <v>500</v>
      </c>
      <c r="O65" s="4" t="str">
        <f t="shared" si="1"/>
        <v>fehér_sklo_ano_185_500</v>
      </c>
      <c r="P65" s="3">
        <f t="shared" si="2"/>
        <v>503092</v>
      </c>
      <c r="Q65" t="str">
        <f t="shared" si="3"/>
        <v>K-StrongMax 18 185/500mm 40kg, üvegezett oldalak, fehér</v>
      </c>
    </row>
    <row r="66" spans="2:17" x14ac:dyDescent="0.25">
      <c r="B66" t="str">
        <f t="shared" si="4"/>
        <v>K-StrongMax 18 185/550mm 40kg, üvegezett oldalak, fehér</v>
      </c>
      <c r="C66" s="3">
        <v>503093</v>
      </c>
      <c r="D66" s="3" t="s">
        <v>838</v>
      </c>
      <c r="E66" s="3" t="s">
        <v>839</v>
      </c>
      <c r="F66" s="3" t="s">
        <v>840</v>
      </c>
      <c r="G66" s="3" t="s">
        <v>841</v>
      </c>
      <c r="H66" s="3" t="s">
        <v>842</v>
      </c>
      <c r="I66" s="3"/>
      <c r="K66">
        <v>185</v>
      </c>
      <c r="L66" s="30" t="str">
        <f>Překlady!$C$31</f>
        <v>fehér</v>
      </c>
      <c r="M66" t="s">
        <v>229</v>
      </c>
      <c r="N66">
        <v>550</v>
      </c>
      <c r="O66" s="4" t="str">
        <f t="shared" si="1"/>
        <v>fehér_sklo_ano_185_550</v>
      </c>
      <c r="P66" s="3">
        <f t="shared" si="2"/>
        <v>503093</v>
      </c>
      <c r="Q66" t="str">
        <f t="shared" si="3"/>
        <v>K-StrongMax 18 185/550mm 40kg, üvegezett oldalak, fehér</v>
      </c>
    </row>
    <row r="67" spans="2:17" x14ac:dyDescent="0.25">
      <c r="B67" t="str">
        <f t="shared" ref="B67:B98" si="5">IF($D$1=1,D:D,IF($D$1=2,E:E,IF($D$1=3,F:F,IF($D$1=4,G:G,IF($D$1=5,H:H)))))</f>
        <v>K-StrongMax 18 89/450mm 40kg, fekete</v>
      </c>
      <c r="C67" s="3">
        <v>503094</v>
      </c>
      <c r="D67" s="3" t="s">
        <v>843</v>
      </c>
      <c r="E67" s="3" t="s">
        <v>844</v>
      </c>
      <c r="F67" s="3" t="s">
        <v>845</v>
      </c>
      <c r="G67" s="3" t="s">
        <v>846</v>
      </c>
      <c r="H67" s="3" t="s">
        <v>847</v>
      </c>
      <c r="I67" s="3"/>
      <c r="K67">
        <v>89</v>
      </c>
      <c r="L67" s="30" t="str">
        <f>Překlady!$C$32</f>
        <v>fekete</v>
      </c>
      <c r="M67" t="s">
        <v>234</v>
      </c>
      <c r="N67">
        <v>450</v>
      </c>
      <c r="O67" s="4" t="str">
        <f t="shared" si="1"/>
        <v>fekete_sklo_ne_89_450</v>
      </c>
      <c r="P67" s="3">
        <f t="shared" si="2"/>
        <v>503094</v>
      </c>
      <c r="Q67" t="str">
        <f t="shared" si="3"/>
        <v>K-StrongMax 18 89/450mm 40kg, fekete</v>
      </c>
    </row>
    <row r="68" spans="2:17" x14ac:dyDescent="0.25">
      <c r="B68" t="str">
        <f t="shared" si="5"/>
        <v>K-StrongMax 18 89/500mm 40kg, fekete</v>
      </c>
      <c r="C68" s="3">
        <v>503095</v>
      </c>
      <c r="D68" s="3" t="s">
        <v>848</v>
      </c>
      <c r="E68" s="3" t="s">
        <v>849</v>
      </c>
      <c r="F68" s="3" t="s">
        <v>850</v>
      </c>
      <c r="G68" s="3" t="s">
        <v>851</v>
      </c>
      <c r="H68" s="3" t="s">
        <v>852</v>
      </c>
      <c r="I68" s="3"/>
      <c r="K68">
        <v>89</v>
      </c>
      <c r="L68" s="30" t="str">
        <f>Překlady!$C$32</f>
        <v>fekete</v>
      </c>
      <c r="M68" t="s">
        <v>234</v>
      </c>
      <c r="N68">
        <v>500</v>
      </c>
      <c r="O68" s="4" t="str">
        <f t="shared" ref="O68:O97" si="6">_xlfn.CONCAT(L68,"_sklo_",M68,"_",K68,"_",N68)</f>
        <v>fekete_sklo_ne_89_500</v>
      </c>
      <c r="P68" s="3">
        <f t="shared" ref="P68:P143" si="7">C68</f>
        <v>503095</v>
      </c>
      <c r="Q68" t="str">
        <f t="shared" ref="Q68:Q143" si="8">B68</f>
        <v>K-StrongMax 18 89/500mm 40kg, fekete</v>
      </c>
    </row>
    <row r="69" spans="2:17" x14ac:dyDescent="0.25">
      <c r="B69" t="str">
        <f t="shared" si="5"/>
        <v>K-StrongMax 18 121/450mm 40kg, fekete</v>
      </c>
      <c r="C69" s="3">
        <v>503096</v>
      </c>
      <c r="D69" s="3" t="s">
        <v>853</v>
      </c>
      <c r="E69" s="3" t="s">
        <v>854</v>
      </c>
      <c r="F69" s="3" t="s">
        <v>855</v>
      </c>
      <c r="G69" s="3" t="s">
        <v>856</v>
      </c>
      <c r="H69" s="3" t="s">
        <v>857</v>
      </c>
      <c r="I69" s="3"/>
      <c r="K69">
        <v>121</v>
      </c>
      <c r="L69" s="30" t="str">
        <f>Překlady!$C$32</f>
        <v>fekete</v>
      </c>
      <c r="M69" t="s">
        <v>234</v>
      </c>
      <c r="N69">
        <v>450</v>
      </c>
      <c r="O69" s="4" t="str">
        <f t="shared" si="6"/>
        <v>fekete_sklo_ne_121_450</v>
      </c>
      <c r="P69" s="3">
        <f t="shared" si="7"/>
        <v>503096</v>
      </c>
      <c r="Q69" t="str">
        <f t="shared" si="8"/>
        <v>K-StrongMax 18 121/450mm 40kg, fekete</v>
      </c>
    </row>
    <row r="70" spans="2:17" x14ac:dyDescent="0.25">
      <c r="B70" t="str">
        <f t="shared" si="5"/>
        <v>K-StrongMax 18 121/500mm 40kg, fekete</v>
      </c>
      <c r="C70" s="3">
        <v>503097</v>
      </c>
      <c r="D70" s="3" t="s">
        <v>858</v>
      </c>
      <c r="E70" s="3" t="s">
        <v>859</v>
      </c>
      <c r="F70" s="3" t="s">
        <v>860</v>
      </c>
      <c r="G70" s="3" t="s">
        <v>861</v>
      </c>
      <c r="H70" s="3" t="s">
        <v>862</v>
      </c>
      <c r="I70" s="3"/>
      <c r="K70">
        <v>121</v>
      </c>
      <c r="L70" s="30" t="str">
        <f>Překlady!$C$32</f>
        <v>fekete</v>
      </c>
      <c r="M70" t="s">
        <v>234</v>
      </c>
      <c r="N70">
        <v>500</v>
      </c>
      <c r="O70" s="4" t="str">
        <f t="shared" si="6"/>
        <v>fekete_sklo_ne_121_500</v>
      </c>
      <c r="P70" s="3">
        <f t="shared" si="7"/>
        <v>503097</v>
      </c>
      <c r="Q70" t="str">
        <f t="shared" si="8"/>
        <v>K-StrongMax 18 121/500mm 40kg, fekete</v>
      </c>
    </row>
    <row r="71" spans="2:17" x14ac:dyDescent="0.25">
      <c r="B71" t="str">
        <f t="shared" si="5"/>
        <v>K-StrongMax 18 185/450mm 40kg, fekete</v>
      </c>
      <c r="C71" s="3">
        <v>503098</v>
      </c>
      <c r="D71" s="3" t="s">
        <v>863</v>
      </c>
      <c r="E71" s="3" t="s">
        <v>864</v>
      </c>
      <c r="F71" s="3" t="s">
        <v>865</v>
      </c>
      <c r="G71" s="3" t="s">
        <v>866</v>
      </c>
      <c r="H71" s="3" t="s">
        <v>867</v>
      </c>
      <c r="I71" s="3"/>
      <c r="K71">
        <v>185</v>
      </c>
      <c r="L71" s="30" t="str">
        <f>Překlady!$C$32</f>
        <v>fekete</v>
      </c>
      <c r="M71" t="s">
        <v>234</v>
      </c>
      <c r="N71">
        <v>450</v>
      </c>
      <c r="O71" s="4" t="str">
        <f t="shared" si="6"/>
        <v>fekete_sklo_ne_185_450</v>
      </c>
      <c r="P71" s="3">
        <f t="shared" si="7"/>
        <v>503098</v>
      </c>
      <c r="Q71" t="str">
        <f t="shared" si="8"/>
        <v>K-StrongMax 18 185/450mm 40kg, fekete</v>
      </c>
    </row>
    <row r="72" spans="2:17" x14ac:dyDescent="0.25">
      <c r="B72" t="str">
        <f t="shared" si="5"/>
        <v>K-StrongMax 18 185/500mm 40kg, fekete</v>
      </c>
      <c r="C72" s="3">
        <v>503099</v>
      </c>
      <c r="D72" s="3" t="s">
        <v>868</v>
      </c>
      <c r="E72" s="3" t="s">
        <v>869</v>
      </c>
      <c r="F72" s="3" t="s">
        <v>870</v>
      </c>
      <c r="G72" s="3" t="s">
        <v>871</v>
      </c>
      <c r="H72" s="3" t="s">
        <v>872</v>
      </c>
      <c r="I72" s="3"/>
      <c r="K72">
        <v>185</v>
      </c>
      <c r="L72" s="30" t="str">
        <f>Překlady!$C$32</f>
        <v>fekete</v>
      </c>
      <c r="M72" t="s">
        <v>234</v>
      </c>
      <c r="N72">
        <v>500</v>
      </c>
      <c r="O72" s="4" t="str">
        <f t="shared" si="6"/>
        <v>fekete_sklo_ne_185_500</v>
      </c>
      <c r="P72" s="3">
        <f t="shared" si="7"/>
        <v>503099</v>
      </c>
      <c r="Q72" t="str">
        <f t="shared" si="8"/>
        <v>K-StrongMax 18 185/500mm 40kg, fekete</v>
      </c>
    </row>
    <row r="73" spans="2:17" x14ac:dyDescent="0.25">
      <c r="B73" t="str">
        <f t="shared" si="5"/>
        <v>K-StrongMax 18 249/450mm 40kg, fekete</v>
      </c>
      <c r="C73" s="3">
        <v>503100</v>
      </c>
      <c r="D73" s="3" t="s">
        <v>873</v>
      </c>
      <c r="E73" s="3" t="s">
        <v>874</v>
      </c>
      <c r="F73" s="3" t="s">
        <v>875</v>
      </c>
      <c r="G73" s="3" t="s">
        <v>876</v>
      </c>
      <c r="H73" s="3" t="s">
        <v>877</v>
      </c>
      <c r="I73" s="3"/>
      <c r="K73">
        <v>249</v>
      </c>
      <c r="L73" s="30" t="str">
        <f>Překlady!$C$32</f>
        <v>fekete</v>
      </c>
      <c r="M73" t="s">
        <v>234</v>
      </c>
      <c r="N73">
        <v>450</v>
      </c>
      <c r="O73" s="4" t="str">
        <f t="shared" si="6"/>
        <v>fekete_sklo_ne_249_450</v>
      </c>
      <c r="P73" s="3">
        <f t="shared" si="7"/>
        <v>503100</v>
      </c>
      <c r="Q73" t="str">
        <f t="shared" si="8"/>
        <v>K-StrongMax 18 249/450mm 40kg, fekete</v>
      </c>
    </row>
    <row r="74" spans="2:17" x14ac:dyDescent="0.25">
      <c r="B74" t="str">
        <f t="shared" si="5"/>
        <v>K-StrongMax 18 249/500mm 40kg, fekete</v>
      </c>
      <c r="C74" s="3">
        <v>503101</v>
      </c>
      <c r="D74" s="3" t="s">
        <v>878</v>
      </c>
      <c r="E74" s="3" t="s">
        <v>879</v>
      </c>
      <c r="F74" s="3" t="s">
        <v>880</v>
      </c>
      <c r="G74" s="3" t="s">
        <v>881</v>
      </c>
      <c r="H74" s="3" t="s">
        <v>882</v>
      </c>
      <c r="I74" s="3"/>
      <c r="K74">
        <v>249</v>
      </c>
      <c r="L74" s="30" t="str">
        <f>Překlady!$C$32</f>
        <v>fekete</v>
      </c>
      <c r="M74" t="s">
        <v>234</v>
      </c>
      <c r="N74">
        <v>500</v>
      </c>
      <c r="O74" s="4" t="str">
        <f t="shared" si="6"/>
        <v>fekete_sklo_ne_249_500</v>
      </c>
      <c r="P74" s="3">
        <f t="shared" si="7"/>
        <v>503101</v>
      </c>
      <c r="Q74" t="str">
        <f t="shared" si="8"/>
        <v>K-StrongMax 18 249/500mm 40kg, fekete</v>
      </c>
    </row>
    <row r="75" spans="2:17" x14ac:dyDescent="0.25">
      <c r="B75" t="str">
        <f t="shared" si="5"/>
        <v>K-StrongMax 18 185/450mm 40kg, üvegezett oldalak, fekete</v>
      </c>
      <c r="C75" s="3">
        <v>503102</v>
      </c>
      <c r="D75" s="3" t="s">
        <v>883</v>
      </c>
      <c r="E75" s="3" t="s">
        <v>884</v>
      </c>
      <c r="F75" s="3" t="s">
        <v>885</v>
      </c>
      <c r="G75" s="3" t="s">
        <v>886</v>
      </c>
      <c r="H75" s="3" t="s">
        <v>887</v>
      </c>
      <c r="I75" s="3"/>
      <c r="K75">
        <v>185</v>
      </c>
      <c r="L75" s="30" t="str">
        <f>Překlady!$C$32</f>
        <v>fekete</v>
      </c>
      <c r="M75" t="s">
        <v>229</v>
      </c>
      <c r="N75">
        <v>450</v>
      </c>
      <c r="O75" s="4" t="str">
        <f t="shared" si="6"/>
        <v>fekete_sklo_ano_185_450</v>
      </c>
      <c r="P75" s="3">
        <f t="shared" si="7"/>
        <v>503102</v>
      </c>
      <c r="Q75" t="str">
        <f t="shared" si="8"/>
        <v>K-StrongMax 18 185/450mm 40kg, üvegezett oldalak, fekete</v>
      </c>
    </row>
    <row r="76" spans="2:17" x14ac:dyDescent="0.25">
      <c r="B76" t="str">
        <f t="shared" si="5"/>
        <v>K-StrongMax 18 185/500mm 40kg, üvegezett oldalak, fekete</v>
      </c>
      <c r="C76" s="3">
        <v>503103</v>
      </c>
      <c r="D76" s="3" t="s">
        <v>888</v>
      </c>
      <c r="E76" s="3" t="s">
        <v>889</v>
      </c>
      <c r="F76" s="3" t="s">
        <v>890</v>
      </c>
      <c r="G76" s="3" t="s">
        <v>891</v>
      </c>
      <c r="H76" s="3" t="s">
        <v>892</v>
      </c>
      <c r="I76" s="3"/>
      <c r="K76">
        <v>185</v>
      </c>
      <c r="L76" s="30" t="str">
        <f>Překlady!$C$32</f>
        <v>fekete</v>
      </c>
      <c r="M76" t="s">
        <v>229</v>
      </c>
      <c r="N76">
        <v>500</v>
      </c>
      <c r="O76" s="4" t="str">
        <f t="shared" si="6"/>
        <v>fekete_sklo_ano_185_500</v>
      </c>
      <c r="P76" s="3">
        <f t="shared" si="7"/>
        <v>503103</v>
      </c>
      <c r="Q76" t="str">
        <f t="shared" si="8"/>
        <v>K-StrongMax 18 185/500mm 40kg, üvegezett oldalak, fekete</v>
      </c>
    </row>
    <row r="77" spans="2:17" x14ac:dyDescent="0.25">
      <c r="B77" s="30" t="str">
        <f>Překlady!$C$119</f>
        <v>ebben a változatban nincs</v>
      </c>
      <c r="C77" s="3" t="s">
        <v>893</v>
      </c>
      <c r="D77" s="3"/>
      <c r="E77" s="3"/>
      <c r="F77" s="66"/>
      <c r="G77" s="66"/>
      <c r="H77" s="3"/>
      <c r="I77" s="3"/>
      <c r="K77">
        <v>121</v>
      </c>
      <c r="L77" s="30" t="str">
        <f>Překlady!$C$32</f>
        <v>fekete</v>
      </c>
      <c r="M77" t="s">
        <v>234</v>
      </c>
      <c r="N77">
        <v>300</v>
      </c>
      <c r="O77" s="4" t="str">
        <f t="shared" si="6"/>
        <v>fekete_sklo_ne_121_300</v>
      </c>
      <c r="P77" s="3" t="str">
        <f t="shared" si="7"/>
        <v>n/a</v>
      </c>
      <c r="Q77" t="str">
        <f t="shared" si="8"/>
        <v>ebben a változatban nincs</v>
      </c>
    </row>
    <row r="78" spans="2:17" x14ac:dyDescent="0.25">
      <c r="B78" s="30" t="str">
        <f>Překlady!$C$119</f>
        <v>ebben a változatban nincs</v>
      </c>
      <c r="C78" s="3" t="s">
        <v>893</v>
      </c>
      <c r="D78" s="3"/>
      <c r="E78" s="3"/>
      <c r="F78" s="66"/>
      <c r="G78" s="66"/>
      <c r="H78" s="3"/>
      <c r="I78" s="3"/>
      <c r="K78">
        <v>121</v>
      </c>
      <c r="L78" s="30" t="str">
        <f>Překlady!$C$32</f>
        <v>fekete</v>
      </c>
      <c r="M78" t="s">
        <v>234</v>
      </c>
      <c r="N78">
        <v>350</v>
      </c>
      <c r="O78" s="4" t="str">
        <f t="shared" si="6"/>
        <v>fekete_sklo_ne_121_350</v>
      </c>
      <c r="P78" s="3" t="str">
        <f t="shared" si="7"/>
        <v>n/a</v>
      </c>
      <c r="Q78" t="str">
        <f t="shared" si="8"/>
        <v>ebben a változatban nincs</v>
      </c>
    </row>
    <row r="79" spans="2:17" x14ac:dyDescent="0.25">
      <c r="B79" s="30" t="str">
        <f>Překlady!$C$119</f>
        <v>ebben a változatban nincs</v>
      </c>
      <c r="C79" s="3" t="s">
        <v>893</v>
      </c>
      <c r="D79" s="3"/>
      <c r="E79" s="3"/>
      <c r="F79" s="66"/>
      <c r="G79" s="66"/>
      <c r="H79" s="3"/>
      <c r="I79" s="3"/>
      <c r="K79">
        <v>121</v>
      </c>
      <c r="L79" s="30" t="str">
        <f>Překlady!$C$32</f>
        <v>fekete</v>
      </c>
      <c r="M79" t="s">
        <v>234</v>
      </c>
      <c r="N79">
        <v>400</v>
      </c>
      <c r="O79" s="4" t="str">
        <f t="shared" si="6"/>
        <v>fekete_sklo_ne_121_400</v>
      </c>
      <c r="P79" s="3" t="str">
        <f t="shared" si="7"/>
        <v>n/a</v>
      </c>
      <c r="Q79" t="str">
        <f t="shared" si="8"/>
        <v>ebben a változatban nincs</v>
      </c>
    </row>
    <row r="80" spans="2:17" x14ac:dyDescent="0.25">
      <c r="B80" s="30" t="str">
        <f>Překlady!$C$119</f>
        <v>ebben a változatban nincs</v>
      </c>
      <c r="C80" s="3" t="s">
        <v>893</v>
      </c>
      <c r="D80" s="3"/>
      <c r="E80" s="3"/>
      <c r="F80" s="66"/>
      <c r="G80" s="66"/>
      <c r="H80" s="3"/>
      <c r="I80" s="3"/>
      <c r="K80">
        <v>121</v>
      </c>
      <c r="L80" s="30" t="str">
        <f>Překlady!$C$32</f>
        <v>fekete</v>
      </c>
      <c r="M80" t="s">
        <v>234</v>
      </c>
      <c r="N80">
        <v>550</v>
      </c>
      <c r="O80" s="4" t="str">
        <f t="shared" si="6"/>
        <v>fekete_sklo_ne_121_550</v>
      </c>
      <c r="P80" s="3" t="str">
        <f t="shared" si="7"/>
        <v>n/a</v>
      </c>
      <c r="Q80" t="str">
        <f t="shared" si="8"/>
        <v>ebben a változatban nincs</v>
      </c>
    </row>
    <row r="81" spans="2:17" x14ac:dyDescent="0.25">
      <c r="B81" s="30" t="str">
        <f>Překlady!$C$119</f>
        <v>ebben a változatban nincs</v>
      </c>
      <c r="C81" s="3" t="s">
        <v>893</v>
      </c>
      <c r="D81" s="3"/>
      <c r="E81" s="3"/>
      <c r="F81" s="66"/>
      <c r="G81" s="66"/>
      <c r="H81" s="3"/>
      <c r="I81" s="3"/>
      <c r="K81">
        <v>121</v>
      </c>
      <c r="L81" s="30" t="str">
        <f>Překlady!$C$32</f>
        <v>fekete</v>
      </c>
      <c r="M81" t="s">
        <v>234</v>
      </c>
      <c r="N81">
        <v>600</v>
      </c>
      <c r="O81" s="4" t="str">
        <f t="shared" si="6"/>
        <v>fekete_sklo_ne_121_600</v>
      </c>
      <c r="P81" s="3" t="str">
        <f t="shared" si="7"/>
        <v>n/a</v>
      </c>
      <c r="Q81" t="str">
        <f t="shared" si="8"/>
        <v>ebben a változatban nincs</v>
      </c>
    </row>
    <row r="82" spans="2:17" x14ac:dyDescent="0.25">
      <c r="B82" s="30" t="str">
        <f>Překlady!$C$119</f>
        <v>ebben a változatban nincs</v>
      </c>
      <c r="C82" s="3" t="s">
        <v>893</v>
      </c>
      <c r="D82" s="3"/>
      <c r="E82" s="3"/>
      <c r="F82" s="66"/>
      <c r="G82" s="66"/>
      <c r="H82" s="3"/>
      <c r="I82" s="3"/>
      <c r="K82">
        <v>121</v>
      </c>
      <c r="L82" s="30" t="str">
        <f>Překlady!$C$32</f>
        <v>fekete</v>
      </c>
      <c r="M82" t="s">
        <v>234</v>
      </c>
      <c r="N82">
        <v>650</v>
      </c>
      <c r="O82" s="4" t="str">
        <f t="shared" si="6"/>
        <v>fekete_sklo_ne_121_650</v>
      </c>
      <c r="P82" s="3" t="str">
        <f t="shared" si="7"/>
        <v>n/a</v>
      </c>
      <c r="Q82" t="str">
        <f t="shared" si="8"/>
        <v>ebben a változatban nincs</v>
      </c>
    </row>
    <row r="83" spans="2:17" x14ac:dyDescent="0.25">
      <c r="B83" s="30" t="str">
        <f>Překlady!$C$119</f>
        <v>ebben a változatban nincs</v>
      </c>
      <c r="C83" s="3" t="s">
        <v>893</v>
      </c>
      <c r="D83" s="3"/>
      <c r="E83" s="3"/>
      <c r="F83" s="66"/>
      <c r="G83" s="66"/>
      <c r="H83" s="3"/>
      <c r="I83" s="3"/>
      <c r="K83">
        <v>185</v>
      </c>
      <c r="L83" s="30" t="str">
        <f>Překlady!$C$32</f>
        <v>fekete</v>
      </c>
      <c r="M83" t="s">
        <v>234</v>
      </c>
      <c r="N83">
        <v>300</v>
      </c>
      <c r="O83" s="4" t="str">
        <f t="shared" si="6"/>
        <v>fekete_sklo_ne_185_300</v>
      </c>
      <c r="P83" s="3" t="str">
        <f t="shared" si="7"/>
        <v>n/a</v>
      </c>
      <c r="Q83" t="str">
        <f t="shared" si="8"/>
        <v>ebben a változatban nincs</v>
      </c>
    </row>
    <row r="84" spans="2:17" x14ac:dyDescent="0.25">
      <c r="B84" s="30" t="str">
        <f>Překlady!$C$119</f>
        <v>ebben a változatban nincs</v>
      </c>
      <c r="C84" s="3" t="s">
        <v>893</v>
      </c>
      <c r="D84" s="3"/>
      <c r="E84" s="3"/>
      <c r="F84" s="66"/>
      <c r="G84" s="66"/>
      <c r="H84" s="3"/>
      <c r="I84" s="3"/>
      <c r="K84">
        <v>185</v>
      </c>
      <c r="L84" s="30" t="str">
        <f>Překlady!$C$32</f>
        <v>fekete</v>
      </c>
      <c r="M84" t="s">
        <v>234</v>
      </c>
      <c r="N84">
        <v>350</v>
      </c>
      <c r="O84" s="4" t="str">
        <f t="shared" si="6"/>
        <v>fekete_sklo_ne_185_350</v>
      </c>
      <c r="P84" s="3" t="str">
        <f t="shared" si="7"/>
        <v>n/a</v>
      </c>
      <c r="Q84" t="str">
        <f t="shared" si="8"/>
        <v>ebben a változatban nincs</v>
      </c>
    </row>
    <row r="85" spans="2:17" x14ac:dyDescent="0.25">
      <c r="B85" s="30" t="str">
        <f>Překlady!$C$119</f>
        <v>ebben a változatban nincs</v>
      </c>
      <c r="C85" s="3" t="s">
        <v>893</v>
      </c>
      <c r="D85" s="3"/>
      <c r="E85" s="3"/>
      <c r="F85" s="66"/>
      <c r="G85" s="66"/>
      <c r="H85" s="3"/>
      <c r="I85" s="3"/>
      <c r="K85">
        <v>185</v>
      </c>
      <c r="L85" s="30" t="str">
        <f>Překlady!$C$32</f>
        <v>fekete</v>
      </c>
      <c r="M85" t="s">
        <v>234</v>
      </c>
      <c r="N85">
        <v>400</v>
      </c>
      <c r="O85" s="4" t="str">
        <f t="shared" si="6"/>
        <v>fekete_sklo_ne_185_400</v>
      </c>
      <c r="P85" s="3" t="str">
        <f t="shared" si="7"/>
        <v>n/a</v>
      </c>
      <c r="Q85" t="str">
        <f t="shared" si="8"/>
        <v>ebben a változatban nincs</v>
      </c>
    </row>
    <row r="86" spans="2:17" x14ac:dyDescent="0.25">
      <c r="B86" s="30" t="str">
        <f>Překlady!$C$119</f>
        <v>ebben a változatban nincs</v>
      </c>
      <c r="C86" s="3" t="s">
        <v>893</v>
      </c>
      <c r="D86" s="3"/>
      <c r="E86" s="3"/>
      <c r="F86" s="66"/>
      <c r="G86" s="66"/>
      <c r="H86" s="3"/>
      <c r="I86" s="3"/>
      <c r="K86">
        <v>185</v>
      </c>
      <c r="L86" s="30" t="str">
        <f>Překlady!$C$32</f>
        <v>fekete</v>
      </c>
      <c r="M86" t="s">
        <v>234</v>
      </c>
      <c r="N86">
        <v>550</v>
      </c>
      <c r="O86" s="4" t="str">
        <f t="shared" si="6"/>
        <v>fekete_sklo_ne_185_550</v>
      </c>
      <c r="P86" s="3" t="str">
        <f t="shared" si="7"/>
        <v>n/a</v>
      </c>
      <c r="Q86" t="str">
        <f t="shared" si="8"/>
        <v>ebben a változatban nincs</v>
      </c>
    </row>
    <row r="87" spans="2:17" x14ac:dyDescent="0.25">
      <c r="B87" s="30" t="str">
        <f>Překlady!$C$119</f>
        <v>ebben a változatban nincs</v>
      </c>
      <c r="C87" s="3" t="s">
        <v>893</v>
      </c>
      <c r="D87" s="3"/>
      <c r="E87" s="3"/>
      <c r="F87" s="66"/>
      <c r="G87" s="66"/>
      <c r="H87" s="3"/>
      <c r="I87" s="3"/>
      <c r="K87">
        <v>185</v>
      </c>
      <c r="L87" s="30" t="str">
        <f>Překlady!$C$32</f>
        <v>fekete</v>
      </c>
      <c r="M87" t="s">
        <v>229</v>
      </c>
      <c r="N87">
        <v>550</v>
      </c>
      <c r="O87" s="4" t="str">
        <f t="shared" si="6"/>
        <v>fekete_sklo_ano_185_550</v>
      </c>
      <c r="P87" s="3" t="str">
        <f t="shared" si="7"/>
        <v>n/a</v>
      </c>
      <c r="Q87" t="str">
        <f t="shared" si="8"/>
        <v>ebben a változatban nincs</v>
      </c>
    </row>
    <row r="88" spans="2:17" x14ac:dyDescent="0.25">
      <c r="B88" s="30" t="str">
        <f>Překlady!$C$119</f>
        <v>ebben a változatban nincs</v>
      </c>
      <c r="C88" s="3" t="s">
        <v>893</v>
      </c>
      <c r="D88" s="3"/>
      <c r="E88" s="3"/>
      <c r="F88" s="66"/>
      <c r="G88" s="66"/>
      <c r="H88" s="3"/>
      <c r="I88" s="3"/>
      <c r="K88">
        <v>185</v>
      </c>
      <c r="L88" s="30" t="str">
        <f>Překlady!$C$32</f>
        <v>fekete</v>
      </c>
      <c r="M88" t="s">
        <v>234</v>
      </c>
      <c r="N88">
        <v>600</v>
      </c>
      <c r="O88" s="4" t="str">
        <f t="shared" si="6"/>
        <v>fekete_sklo_ne_185_600</v>
      </c>
      <c r="P88" s="3" t="str">
        <f t="shared" si="7"/>
        <v>n/a</v>
      </c>
      <c r="Q88" t="str">
        <f t="shared" si="8"/>
        <v>ebben a változatban nincs</v>
      </c>
    </row>
    <row r="89" spans="2:17" x14ac:dyDescent="0.25">
      <c r="B89" s="30" t="str">
        <f>Překlady!$C$119</f>
        <v>ebben a változatban nincs</v>
      </c>
      <c r="C89" s="3" t="s">
        <v>893</v>
      </c>
      <c r="D89" s="3"/>
      <c r="E89" s="3"/>
      <c r="F89" s="66"/>
      <c r="G89" s="66"/>
      <c r="H89" s="3"/>
      <c r="I89" s="3"/>
      <c r="K89">
        <v>185</v>
      </c>
      <c r="L89" s="30" t="str">
        <f>Překlady!$C$32</f>
        <v>fekete</v>
      </c>
      <c r="M89" t="s">
        <v>234</v>
      </c>
      <c r="N89">
        <v>650</v>
      </c>
      <c r="O89" s="4" t="str">
        <f t="shared" si="6"/>
        <v>fekete_sklo_ne_185_650</v>
      </c>
      <c r="P89" s="3" t="str">
        <f t="shared" si="7"/>
        <v>n/a</v>
      </c>
      <c r="Q89" t="str">
        <f t="shared" si="8"/>
        <v>ebben a változatban nincs</v>
      </c>
    </row>
    <row r="90" spans="2:17" x14ac:dyDescent="0.25">
      <c r="B90" s="30" t="str">
        <f>Překlady!$C$119</f>
        <v>ebben a változatban nincs</v>
      </c>
      <c r="C90" s="3" t="s">
        <v>893</v>
      </c>
      <c r="D90" s="3"/>
      <c r="E90" s="3"/>
      <c r="F90" s="66"/>
      <c r="G90" s="66"/>
      <c r="H90" s="3"/>
      <c r="I90" s="3"/>
      <c r="K90">
        <v>249</v>
      </c>
      <c r="L90" s="30" t="str">
        <f>Překlady!$C$32</f>
        <v>fekete</v>
      </c>
      <c r="M90" t="s">
        <v>234</v>
      </c>
      <c r="N90">
        <v>550</v>
      </c>
      <c r="O90" s="4" t="str">
        <f t="shared" si="6"/>
        <v>fekete_sklo_ne_249_550</v>
      </c>
      <c r="P90" s="3" t="str">
        <f t="shared" si="7"/>
        <v>n/a</v>
      </c>
      <c r="Q90" t="str">
        <f t="shared" si="8"/>
        <v>ebben a változatban nincs</v>
      </c>
    </row>
    <row r="91" spans="2:17" x14ac:dyDescent="0.25">
      <c r="B91" s="30" t="str">
        <f>Překlady!$C$119</f>
        <v>ebben a változatban nincs</v>
      </c>
      <c r="C91" s="3" t="s">
        <v>893</v>
      </c>
      <c r="D91" s="3"/>
      <c r="E91" s="3"/>
      <c r="F91" s="66"/>
      <c r="G91" s="66"/>
      <c r="H91" s="3"/>
      <c r="I91" s="3"/>
      <c r="K91">
        <v>249</v>
      </c>
      <c r="L91" s="30" t="str">
        <f>Překlady!$C$32</f>
        <v>fekete</v>
      </c>
      <c r="M91" t="s">
        <v>234</v>
      </c>
      <c r="N91">
        <v>600</v>
      </c>
      <c r="O91" s="4" t="str">
        <f t="shared" si="6"/>
        <v>fekete_sklo_ne_249_600</v>
      </c>
      <c r="P91" s="3" t="str">
        <f t="shared" si="7"/>
        <v>n/a</v>
      </c>
      <c r="Q91" t="str">
        <f t="shared" si="8"/>
        <v>ebben a változatban nincs</v>
      </c>
    </row>
    <row r="92" spans="2:17" x14ac:dyDescent="0.25">
      <c r="B92" s="30" t="str">
        <f>Překlady!$C$119</f>
        <v>ebben a változatban nincs</v>
      </c>
      <c r="C92" s="3" t="s">
        <v>893</v>
      </c>
      <c r="D92" s="3"/>
      <c r="E92" s="3"/>
      <c r="F92" s="66"/>
      <c r="G92" s="66"/>
      <c r="H92" s="3"/>
      <c r="I92" s="3"/>
      <c r="K92">
        <v>249</v>
      </c>
      <c r="L92" s="30" t="str">
        <f>Překlady!$C$32</f>
        <v>fekete</v>
      </c>
      <c r="M92" t="s">
        <v>234</v>
      </c>
      <c r="N92">
        <v>650</v>
      </c>
      <c r="O92" s="4" t="str">
        <f t="shared" si="6"/>
        <v>fekete_sklo_ne_249_650</v>
      </c>
      <c r="P92" s="3" t="str">
        <f t="shared" si="7"/>
        <v>n/a</v>
      </c>
      <c r="Q92" t="str">
        <f t="shared" si="8"/>
        <v>ebben a változatban nincs</v>
      </c>
    </row>
    <row r="93" spans="2:17" x14ac:dyDescent="0.25">
      <c r="B93" s="30" t="str">
        <f>Překlady!$C$119</f>
        <v>ebben a változatban nincs</v>
      </c>
      <c r="C93" s="3" t="s">
        <v>893</v>
      </c>
      <c r="D93" s="3"/>
      <c r="E93" s="3"/>
      <c r="F93" s="66"/>
      <c r="G93" s="66"/>
      <c r="H93" s="3"/>
      <c r="I93" s="3"/>
      <c r="K93">
        <v>89</v>
      </c>
      <c r="L93" s="30" t="str">
        <f>Překlady!$C$32</f>
        <v>fekete</v>
      </c>
      <c r="M93" t="s">
        <v>234</v>
      </c>
      <c r="N93">
        <v>300</v>
      </c>
      <c r="O93" s="4" t="str">
        <f t="shared" si="6"/>
        <v>fekete_sklo_ne_89_300</v>
      </c>
      <c r="P93" s="3" t="str">
        <f t="shared" si="7"/>
        <v>n/a</v>
      </c>
      <c r="Q93" t="str">
        <f t="shared" si="8"/>
        <v>ebben a változatban nincs</v>
      </c>
    </row>
    <row r="94" spans="2:17" x14ac:dyDescent="0.25">
      <c r="B94" s="30" t="str">
        <f>Překlady!$C$119</f>
        <v>ebben a változatban nincs</v>
      </c>
      <c r="C94" s="3" t="s">
        <v>893</v>
      </c>
      <c r="D94" s="3"/>
      <c r="E94" s="3"/>
      <c r="F94" s="66"/>
      <c r="G94" s="66"/>
      <c r="H94" s="3"/>
      <c r="I94" s="3"/>
      <c r="K94">
        <v>89</v>
      </c>
      <c r="L94" s="30" t="str">
        <f>Překlady!$C$32</f>
        <v>fekete</v>
      </c>
      <c r="M94" t="s">
        <v>234</v>
      </c>
      <c r="N94">
        <v>400</v>
      </c>
      <c r="O94" s="4" t="str">
        <f t="shared" si="6"/>
        <v>fekete_sklo_ne_89_400</v>
      </c>
      <c r="P94" s="3" t="str">
        <f t="shared" si="7"/>
        <v>n/a</v>
      </c>
      <c r="Q94" t="str">
        <f t="shared" si="8"/>
        <v>ebben a változatban nincs</v>
      </c>
    </row>
    <row r="95" spans="2:17" x14ac:dyDescent="0.25">
      <c r="B95" s="30" t="str">
        <f>Překlady!$C$119</f>
        <v>ebben a változatban nincs</v>
      </c>
      <c r="C95" s="3" t="s">
        <v>893</v>
      </c>
      <c r="D95" s="3"/>
      <c r="E95" s="3"/>
      <c r="F95" s="66"/>
      <c r="G95" s="66"/>
      <c r="H95" s="3"/>
      <c r="I95" s="3"/>
      <c r="K95">
        <v>89</v>
      </c>
      <c r="L95" s="30" t="str">
        <f>Překlady!$C$32</f>
        <v>fekete</v>
      </c>
      <c r="M95" t="s">
        <v>234</v>
      </c>
      <c r="N95">
        <v>550</v>
      </c>
      <c r="O95" s="4" t="str">
        <f t="shared" si="6"/>
        <v>fekete_sklo_ne_89_550</v>
      </c>
      <c r="P95" s="3" t="str">
        <f t="shared" si="7"/>
        <v>n/a</v>
      </c>
      <c r="Q95" t="str">
        <f t="shared" si="8"/>
        <v>ebben a változatban nincs</v>
      </c>
    </row>
    <row r="96" spans="2:17" x14ac:dyDescent="0.25">
      <c r="B96" s="30" t="str">
        <f>Překlady!$C$119</f>
        <v>ebben a változatban nincs</v>
      </c>
      <c r="C96" s="3" t="s">
        <v>893</v>
      </c>
      <c r="D96" s="3"/>
      <c r="E96" s="3"/>
      <c r="F96" s="66"/>
      <c r="G96" s="66"/>
      <c r="H96" s="3"/>
      <c r="I96" s="3"/>
      <c r="K96">
        <v>89</v>
      </c>
      <c r="L96" s="30" t="str">
        <f>Překlady!$C$32</f>
        <v>fekete</v>
      </c>
      <c r="M96" t="s">
        <v>234</v>
      </c>
      <c r="N96">
        <v>600</v>
      </c>
      <c r="O96" s="4" t="str">
        <f t="shared" si="6"/>
        <v>fekete_sklo_ne_89_600</v>
      </c>
      <c r="P96" s="3" t="str">
        <f t="shared" si="7"/>
        <v>n/a</v>
      </c>
      <c r="Q96" t="str">
        <f t="shared" si="8"/>
        <v>ebben a változatban nincs</v>
      </c>
    </row>
    <row r="97" spans="2:17" x14ac:dyDescent="0.25">
      <c r="B97" s="30" t="str">
        <f>Překlady!$C$119</f>
        <v>ebben a változatban nincs</v>
      </c>
      <c r="C97" s="3" t="s">
        <v>893</v>
      </c>
      <c r="D97" s="3"/>
      <c r="E97" s="3"/>
      <c r="F97" s="66"/>
      <c r="G97" s="66"/>
      <c r="H97" s="3"/>
      <c r="I97" s="3"/>
      <c r="K97">
        <v>89</v>
      </c>
      <c r="L97" s="30" t="str">
        <f>Překlady!$C$32</f>
        <v>fekete</v>
      </c>
      <c r="M97" t="s">
        <v>234</v>
      </c>
      <c r="N97">
        <v>650</v>
      </c>
      <c r="O97" s="4" t="str">
        <f t="shared" si="6"/>
        <v>fekete_sklo_ne_89_650</v>
      </c>
      <c r="P97" s="3" t="str">
        <f t="shared" si="7"/>
        <v>n/a</v>
      </c>
      <c r="Q97" t="str">
        <f t="shared" si="8"/>
        <v>ebben a változatban nincs</v>
      </c>
    </row>
    <row r="98" spans="2:17" x14ac:dyDescent="0.25">
      <c r="B98" t="str">
        <f t="shared" si="5"/>
        <v>STRONG fióksín jelölő sablon nemesacél</v>
      </c>
      <c r="C98">
        <v>396273</v>
      </c>
      <c r="D98" t="s">
        <v>894</v>
      </c>
      <c r="E98" t="s">
        <v>895</v>
      </c>
      <c r="F98" t="s">
        <v>896</v>
      </c>
      <c r="G98" t="s">
        <v>897</v>
      </c>
      <c r="H98" t="s">
        <v>898</v>
      </c>
      <c r="P98" s="3">
        <f t="shared" si="7"/>
        <v>396273</v>
      </c>
      <c r="Q98" t="str">
        <f t="shared" si="8"/>
        <v>STRONG fióksín jelölő sablon nemesacél</v>
      </c>
    </row>
    <row r="99" spans="2:17" x14ac:dyDescent="0.25">
      <c r="P99" s="3"/>
    </row>
    <row r="100" spans="2:17" x14ac:dyDescent="0.25">
      <c r="B100" t="str">
        <f t="shared" ref="B100:B111" si="9">IF($D$1=1,D:D,IF($D$1=2,E:E,IF($D$1=3,F:F,IF($D$1=4,G:G,IF($D$1=5,H:H)))))</f>
        <v>StrongMax 16/18 üvegbetét belső fiókhoz H121 413x76x8mm KB500 (DTDL16)</v>
      </c>
      <c r="C100" s="3" t="s">
        <v>899</v>
      </c>
      <c r="D100" s="3" t="s">
        <v>900</v>
      </c>
      <c r="E100" s="3" t="s">
        <v>901</v>
      </c>
      <c r="F100" s="3" t="s">
        <v>902</v>
      </c>
      <c r="G100" s="3" t="s">
        <v>903</v>
      </c>
      <c r="H100" s="3" t="s">
        <v>904</v>
      </c>
      <c r="L100">
        <v>500</v>
      </c>
      <c r="M100">
        <v>16</v>
      </c>
      <c r="N100">
        <v>121</v>
      </c>
      <c r="O100" t="str">
        <f>CONCATENATE(Překlady!$C$78,"_",L100,"_",M100,"_",N100," mm")</f>
        <v>üveg_500_16_121 mm</v>
      </c>
      <c r="P100" s="3" t="str">
        <f t="shared" ref="P100:P111" si="10">C100</f>
        <v>402264</v>
      </c>
      <c r="Q100" t="str">
        <f t="shared" ref="Q100:Q111" si="11">B100</f>
        <v>StrongMax 16/18 üvegbetét belső fiókhoz H121 413x76x8mm KB500 (DTDL16)</v>
      </c>
    </row>
    <row r="101" spans="2:17" x14ac:dyDescent="0.25">
      <c r="B101" t="str">
        <f t="shared" si="9"/>
        <v>StrongMax 16/18 üvegbetét belső fiókhoz H121 513x76x8mm KB600 (DTDL16)</v>
      </c>
      <c r="C101" s="3" t="s">
        <v>905</v>
      </c>
      <c r="D101" s="3" t="s">
        <v>906</v>
      </c>
      <c r="E101" s="3" t="s">
        <v>907</v>
      </c>
      <c r="F101" s="3" t="s">
        <v>908</v>
      </c>
      <c r="G101" s="3" t="s">
        <v>909</v>
      </c>
      <c r="H101" s="3" t="s">
        <v>910</v>
      </c>
      <c r="L101">
        <v>600</v>
      </c>
      <c r="M101">
        <v>16</v>
      </c>
      <c r="N101">
        <v>121</v>
      </c>
      <c r="O101" t="str">
        <f>CONCATENATE(Překlady!$C$78,"_",L101,"_",M101,"_",N101," mm")</f>
        <v>üveg_600_16_121 mm</v>
      </c>
      <c r="P101" s="3" t="str">
        <f t="shared" si="10"/>
        <v>402265</v>
      </c>
      <c r="Q101" t="str">
        <f t="shared" si="11"/>
        <v>StrongMax 16/18 üvegbetét belső fiókhoz H121 513x76x8mm KB600 (DTDL16)</v>
      </c>
    </row>
    <row r="102" spans="2:17" x14ac:dyDescent="0.25">
      <c r="B102" t="str">
        <f t="shared" si="9"/>
        <v>StrongMax 16/18 üvegbetét belső fiókhoz H121 713x76x8mm KB800 (DTDL16)</v>
      </c>
      <c r="C102" s="3" t="s">
        <v>911</v>
      </c>
      <c r="D102" s="3" t="s">
        <v>912</v>
      </c>
      <c r="E102" s="3" t="s">
        <v>913</v>
      </c>
      <c r="F102" s="3" t="s">
        <v>914</v>
      </c>
      <c r="G102" s="3" t="s">
        <v>915</v>
      </c>
      <c r="H102" s="3" t="s">
        <v>916</v>
      </c>
      <c r="L102">
        <v>800</v>
      </c>
      <c r="M102">
        <v>16</v>
      </c>
      <c r="N102">
        <v>121</v>
      </c>
      <c r="O102" t="str">
        <f>CONCATENATE(Překlady!$C$78,"_",L102,"_",M102,"_",N102," mm")</f>
        <v>üveg_800_16_121 mm</v>
      </c>
      <c r="P102" s="3" t="str">
        <f t="shared" si="10"/>
        <v>402266</v>
      </c>
      <c r="Q102" t="str">
        <f t="shared" si="11"/>
        <v>StrongMax 16/18 üvegbetét belső fiókhoz H121 713x76x8mm KB800 (DTDL16)</v>
      </c>
    </row>
    <row r="103" spans="2:17" x14ac:dyDescent="0.25">
      <c r="B103" t="str">
        <f t="shared" si="9"/>
        <v>StrongMax 16/18 üvegbetét belső fiókhoz H121 813x76x8mm KB800 (DTDL16)</v>
      </c>
      <c r="C103" s="3" t="s">
        <v>917</v>
      </c>
      <c r="D103" s="3" t="s">
        <v>918</v>
      </c>
      <c r="E103" s="3" t="s">
        <v>919</v>
      </c>
      <c r="F103" s="3" t="s">
        <v>920</v>
      </c>
      <c r="G103" s="3" t="s">
        <v>921</v>
      </c>
      <c r="H103" s="3" t="s">
        <v>922</v>
      </c>
      <c r="L103">
        <v>800</v>
      </c>
      <c r="M103">
        <v>16</v>
      </c>
      <c r="N103">
        <v>121</v>
      </c>
      <c r="O103" t="str">
        <f>CONCATENATE(Překlady!$C$78,"_",L103,"_",M103,"_",N103," mm")</f>
        <v>üveg_800_16_121 mm</v>
      </c>
      <c r="P103" s="3" t="str">
        <f t="shared" si="10"/>
        <v>403174</v>
      </c>
      <c r="Q103" t="str">
        <f t="shared" si="11"/>
        <v>StrongMax 16/18 üvegbetét belső fiókhoz H121 813x76x8mm KB800 (DTDL16)</v>
      </c>
    </row>
    <row r="104" spans="2:17" x14ac:dyDescent="0.25">
      <c r="B104" t="str">
        <f t="shared" si="9"/>
        <v>StrongMax 16/18 üvegbetét belső fiókhoz H185 413x140x8mm KB500 (DTDL16)</v>
      </c>
      <c r="C104" s="3" t="s">
        <v>923</v>
      </c>
      <c r="D104" s="3" t="s">
        <v>924</v>
      </c>
      <c r="E104" s="3" t="s">
        <v>925</v>
      </c>
      <c r="F104" s="3" t="s">
        <v>926</v>
      </c>
      <c r="G104" s="3" t="s">
        <v>927</v>
      </c>
      <c r="H104" s="3" t="s">
        <v>928</v>
      </c>
      <c r="L104">
        <v>500</v>
      </c>
      <c r="M104">
        <v>16</v>
      </c>
      <c r="N104">
        <v>185</v>
      </c>
      <c r="O104" t="str">
        <f>CONCATENATE(Překlady!$C$78,"_",L104,"_",M104,"_",N104," mm")</f>
        <v>üveg_500_16_185 mm</v>
      </c>
      <c r="P104" s="3" t="str">
        <f t="shared" si="10"/>
        <v>402267</v>
      </c>
      <c r="Q104" t="str">
        <f t="shared" si="11"/>
        <v>StrongMax 16/18 üvegbetét belső fiókhoz H185 413x140x8mm KB500 (DTDL16)</v>
      </c>
    </row>
    <row r="105" spans="2:17" x14ac:dyDescent="0.25">
      <c r="B105" t="str">
        <f t="shared" si="9"/>
        <v>StrongMax 16/18 üvegbetét belső fiókhoz H185 513x140x8mm KB600 (DTDL16)</v>
      </c>
      <c r="C105" s="3" t="s">
        <v>929</v>
      </c>
      <c r="D105" s="3" t="s">
        <v>930</v>
      </c>
      <c r="E105" s="3" t="s">
        <v>931</v>
      </c>
      <c r="F105" s="3" t="s">
        <v>932</v>
      </c>
      <c r="G105" s="3" t="s">
        <v>933</v>
      </c>
      <c r="H105" s="3" t="s">
        <v>934</v>
      </c>
      <c r="L105">
        <v>600</v>
      </c>
      <c r="M105">
        <v>16</v>
      </c>
      <c r="N105">
        <v>185</v>
      </c>
      <c r="O105" t="str">
        <f>CONCATENATE(Překlady!$C$78,"_",L105,"_",M105,"_",N105," mm")</f>
        <v>üveg_600_16_185 mm</v>
      </c>
      <c r="P105" s="3" t="str">
        <f t="shared" si="10"/>
        <v>402268</v>
      </c>
      <c r="Q105" t="str">
        <f t="shared" si="11"/>
        <v>StrongMax 16/18 üvegbetét belső fiókhoz H185 513x140x8mm KB600 (DTDL16)</v>
      </c>
    </row>
    <row r="106" spans="2:17" x14ac:dyDescent="0.25">
      <c r="B106" t="str">
        <f t="shared" si="9"/>
        <v>StrongMax 16/18 üvegbetét belső fiókhoz H185 713x140x8mm KB800 (DTDL16)</v>
      </c>
      <c r="C106" s="3" t="s">
        <v>935</v>
      </c>
      <c r="D106" s="3" t="s">
        <v>936</v>
      </c>
      <c r="E106" s="3" t="s">
        <v>937</v>
      </c>
      <c r="F106" s="3" t="s">
        <v>938</v>
      </c>
      <c r="G106" s="3" t="s">
        <v>939</v>
      </c>
      <c r="H106" s="3" t="s">
        <v>940</v>
      </c>
      <c r="L106">
        <v>800</v>
      </c>
      <c r="M106">
        <v>16</v>
      </c>
      <c r="N106">
        <v>185</v>
      </c>
      <c r="O106" t="str">
        <f>CONCATENATE(Překlady!$C$78,"_",L106,"_",M106,"_",N106," mm")</f>
        <v>üveg_800_16_185 mm</v>
      </c>
      <c r="P106" s="3" t="str">
        <f t="shared" si="10"/>
        <v>402269</v>
      </c>
      <c r="Q106" t="str">
        <f t="shared" si="11"/>
        <v>StrongMax 16/18 üvegbetét belső fiókhoz H185 713x140x8mm KB800 (DTDL16)</v>
      </c>
    </row>
    <row r="107" spans="2:17" x14ac:dyDescent="0.25">
      <c r="B107" t="str">
        <f t="shared" si="9"/>
        <v>StrongMax 16/18 üvegbetét belső fiókhoz H185 813x140x8mm KB900 (DTDL16)</v>
      </c>
      <c r="C107" s="3" t="s">
        <v>941</v>
      </c>
      <c r="D107" s="3" t="s">
        <v>942</v>
      </c>
      <c r="E107" s="3" t="s">
        <v>943</v>
      </c>
      <c r="F107" s="3" t="s">
        <v>944</v>
      </c>
      <c r="G107" s="3" t="s">
        <v>945</v>
      </c>
      <c r="H107" s="3" t="s">
        <v>946</v>
      </c>
      <c r="L107">
        <v>900</v>
      </c>
      <c r="M107">
        <v>16</v>
      </c>
      <c r="N107">
        <v>185</v>
      </c>
      <c r="O107" t="str">
        <f>CONCATENATE(Překlady!$C$78,"_",L107,"_",M107,"_",N107," mm")</f>
        <v>üveg_900_16_185 mm</v>
      </c>
      <c r="P107" s="3" t="str">
        <f t="shared" si="10"/>
        <v>403175</v>
      </c>
      <c r="Q107" t="str">
        <f t="shared" si="11"/>
        <v>StrongMax 16/18 üvegbetét belső fiókhoz H185 813x140x8mm KB900 (DTDL16)</v>
      </c>
    </row>
    <row r="108" spans="2:17" x14ac:dyDescent="0.25">
      <c r="B108" t="str">
        <f t="shared" si="9"/>
        <v>StrongMax 16/18 üvegbetét belső fiókhoz H89 413x44x8mm KB500 (DTDL16)</v>
      </c>
      <c r="C108" s="3" t="s">
        <v>947</v>
      </c>
      <c r="D108" s="3" t="s">
        <v>948</v>
      </c>
      <c r="E108" s="3" t="s">
        <v>949</v>
      </c>
      <c r="F108" s="3" t="s">
        <v>950</v>
      </c>
      <c r="G108" s="3" t="s">
        <v>951</v>
      </c>
      <c r="H108" s="3" t="s">
        <v>952</v>
      </c>
      <c r="L108">
        <v>500</v>
      </c>
      <c r="M108">
        <v>16</v>
      </c>
      <c r="N108">
        <v>89</v>
      </c>
      <c r="O108" t="str">
        <f>CONCATENATE(Překlady!$C$78,"_",L108,"_",M108,"_",N108," mm")</f>
        <v>üveg_500_16_89 mm</v>
      </c>
      <c r="P108" s="3" t="str">
        <f t="shared" si="10"/>
        <v>401956</v>
      </c>
      <c r="Q108" t="str">
        <f t="shared" si="11"/>
        <v>StrongMax 16/18 üvegbetét belső fiókhoz H89 413x44x8mm KB500 (DTDL16)</v>
      </c>
    </row>
    <row r="109" spans="2:17" x14ac:dyDescent="0.25">
      <c r="B109" t="str">
        <f t="shared" si="9"/>
        <v>StrongMax 16/18 üvegbetét belső fiókhoz H89 513x44x8mm KB600 (DTDL16)</v>
      </c>
      <c r="C109" s="3" t="s">
        <v>953</v>
      </c>
      <c r="D109" s="3" t="s">
        <v>954</v>
      </c>
      <c r="E109" s="3" t="s">
        <v>955</v>
      </c>
      <c r="F109" s="3" t="s">
        <v>956</v>
      </c>
      <c r="G109" s="3" t="s">
        <v>957</v>
      </c>
      <c r="H109" s="3" t="s">
        <v>958</v>
      </c>
      <c r="L109">
        <v>600</v>
      </c>
      <c r="M109">
        <v>16</v>
      </c>
      <c r="N109">
        <v>89</v>
      </c>
      <c r="O109" t="str">
        <f>CONCATENATE(Překlady!$C$78,"_",L109,"_",M109,"_",N109," mm")</f>
        <v>üveg_600_16_89 mm</v>
      </c>
      <c r="P109" s="3" t="str">
        <f t="shared" si="10"/>
        <v>401957</v>
      </c>
      <c r="Q109" t="str">
        <f t="shared" si="11"/>
        <v>StrongMax 16/18 üvegbetét belső fiókhoz H89 513x44x8mm KB600 (DTDL16)</v>
      </c>
    </row>
    <row r="110" spans="2:17" x14ac:dyDescent="0.25">
      <c r="B110" t="str">
        <f t="shared" si="9"/>
        <v>StrongMax 16/18 üvegbetét belső fiókhoz H89 713x44x8mm KB800 (DTDL16)</v>
      </c>
      <c r="C110" s="3" t="s">
        <v>959</v>
      </c>
      <c r="D110" s="3" t="s">
        <v>960</v>
      </c>
      <c r="E110" s="3" t="s">
        <v>961</v>
      </c>
      <c r="F110" s="3" t="s">
        <v>962</v>
      </c>
      <c r="G110" s="3" t="s">
        <v>963</v>
      </c>
      <c r="H110" s="3" t="s">
        <v>964</v>
      </c>
      <c r="L110">
        <v>800</v>
      </c>
      <c r="M110">
        <v>16</v>
      </c>
      <c r="N110">
        <v>89</v>
      </c>
      <c r="O110" t="str">
        <f>CONCATENATE(Překlady!$C$78,"_",L110,"_",M110,"_",N110," mm")</f>
        <v>üveg_800_16_89 mm</v>
      </c>
      <c r="P110" s="3" t="str">
        <f t="shared" si="10"/>
        <v>401958</v>
      </c>
      <c r="Q110" t="str">
        <f t="shared" si="11"/>
        <v>StrongMax 16/18 üvegbetét belső fiókhoz H89 713x44x8mm KB800 (DTDL16)</v>
      </c>
    </row>
    <row r="111" spans="2:17" x14ac:dyDescent="0.25">
      <c r="B111" t="str">
        <f t="shared" si="9"/>
        <v>StrongMax 16/18 üvegbetét belső fiókhoz H89mm 813x44x8 KB900 (DTDL16)</v>
      </c>
      <c r="C111" s="3" t="s">
        <v>965</v>
      </c>
      <c r="D111" s="3" t="s">
        <v>966</v>
      </c>
      <c r="E111" s="3" t="s">
        <v>967</v>
      </c>
      <c r="F111" s="3" t="s">
        <v>968</v>
      </c>
      <c r="G111" s="3" t="s">
        <v>969</v>
      </c>
      <c r="H111" s="3" t="s">
        <v>970</v>
      </c>
      <c r="L111">
        <v>900</v>
      </c>
      <c r="M111">
        <v>16</v>
      </c>
      <c r="N111">
        <v>89</v>
      </c>
      <c r="O111" t="str">
        <f>CONCATENATE(Překlady!$C$78,"_",L111,"_",M111,"_",N111," mm")</f>
        <v>üveg_900_16_89 mm</v>
      </c>
      <c r="P111" s="3" t="str">
        <f t="shared" si="10"/>
        <v>403173</v>
      </c>
      <c r="Q111" t="str">
        <f t="shared" si="11"/>
        <v>StrongMax 16/18 üvegbetét belső fiókhoz H89mm 813x44x8 KB900 (DTDL16)</v>
      </c>
    </row>
    <row r="112" spans="2:17" x14ac:dyDescent="0.25">
      <c r="B112" t="str">
        <f t="shared" ref="B112:B143" si="12">IF($D$1=1,D:D,IF($D$1=2,E:E,IF($D$1=3,F:F,IF($D$1=4,G:G,IF($D$1=5,H:H)))))</f>
        <v>StrongMax belső fiók elülső üveg H89 409x44x8mm KB500 (DTDL18)</v>
      </c>
      <c r="C112" s="3" t="s">
        <v>971</v>
      </c>
      <c r="D112" t="s">
        <v>972</v>
      </c>
      <c r="E112" t="s">
        <v>973</v>
      </c>
      <c r="F112" t="s">
        <v>974</v>
      </c>
      <c r="G112" t="s">
        <v>975</v>
      </c>
      <c r="H112" t="s">
        <v>976</v>
      </c>
      <c r="L112">
        <v>500</v>
      </c>
      <c r="M112">
        <v>18</v>
      </c>
      <c r="N112">
        <v>89</v>
      </c>
      <c r="O112" t="str">
        <f>CONCATENATE(Překlady!$C$78,"_",L112,"_",M112,"_",N112," mm")</f>
        <v>üveg_500_18_89 mm</v>
      </c>
      <c r="P112" s="3" t="str">
        <f t="shared" si="7"/>
        <v>529801</v>
      </c>
      <c r="Q112" t="str">
        <f t="shared" si="8"/>
        <v>StrongMax belső fiók elülső üveg H89 409x44x8mm KB500 (DTDL18)</v>
      </c>
    </row>
    <row r="113" spans="2:17" x14ac:dyDescent="0.25">
      <c r="B113" t="str">
        <f t="shared" si="12"/>
        <v>StrongMax belső fiók elülső üveg H89 509x44x8mm KB600 (DTDL18)</v>
      </c>
      <c r="C113" s="3" t="s">
        <v>977</v>
      </c>
      <c r="D113" t="s">
        <v>978</v>
      </c>
      <c r="E113" t="s">
        <v>979</v>
      </c>
      <c r="F113" t="s">
        <v>980</v>
      </c>
      <c r="G113" t="s">
        <v>981</v>
      </c>
      <c r="H113" t="s">
        <v>982</v>
      </c>
      <c r="L113">
        <v>600</v>
      </c>
      <c r="M113">
        <v>18</v>
      </c>
      <c r="N113">
        <v>89</v>
      </c>
      <c r="O113" t="str">
        <f>CONCATENATE(Překlady!$C$78,"_",L113,"_",M113,"_",N113," mm")</f>
        <v>üveg_600_18_89 mm</v>
      </c>
      <c r="P113" s="3" t="str">
        <f t="shared" si="7"/>
        <v>529802</v>
      </c>
      <c r="Q113" t="str">
        <f t="shared" si="8"/>
        <v>StrongMax belső fiók elülső üveg H89 509x44x8mm KB600 (DTDL18)</v>
      </c>
    </row>
    <row r="114" spans="2:17" x14ac:dyDescent="0.25">
      <c r="B114" t="str">
        <f t="shared" si="12"/>
        <v>StrongMax belső fiók elülső üveg H89 709x44x8mm KB800 (DTDL18)</v>
      </c>
      <c r="C114" s="3" t="s">
        <v>983</v>
      </c>
      <c r="D114" t="s">
        <v>984</v>
      </c>
      <c r="E114" t="s">
        <v>985</v>
      </c>
      <c r="F114" t="s">
        <v>986</v>
      </c>
      <c r="G114" t="s">
        <v>987</v>
      </c>
      <c r="H114" t="s">
        <v>988</v>
      </c>
      <c r="L114">
        <v>800</v>
      </c>
      <c r="M114">
        <v>18</v>
      </c>
      <c r="N114">
        <v>89</v>
      </c>
      <c r="O114" t="str">
        <f>CONCATENATE(Překlady!$C$78,"_",L114,"_",M114,"_",N114," mm")</f>
        <v>üveg_800_18_89 mm</v>
      </c>
      <c r="P114" s="3" t="str">
        <f t="shared" si="7"/>
        <v>529803</v>
      </c>
      <c r="Q114" t="str">
        <f t="shared" si="8"/>
        <v>StrongMax belső fiók elülső üveg H89 709x44x8mm KB800 (DTDL18)</v>
      </c>
    </row>
    <row r="115" spans="2:17" x14ac:dyDescent="0.25">
      <c r="B115" t="str">
        <f t="shared" si="12"/>
        <v>StrongMax belső fiók elülső üveg  H121 409x76x8mm KB500 (DTDL18)</v>
      </c>
      <c r="C115" s="3" t="s">
        <v>989</v>
      </c>
      <c r="D115" t="s">
        <v>990</v>
      </c>
      <c r="E115" t="s">
        <v>991</v>
      </c>
      <c r="F115" t="s">
        <v>992</v>
      </c>
      <c r="G115" t="s">
        <v>993</v>
      </c>
      <c r="H115" t="s">
        <v>994</v>
      </c>
      <c r="L115">
        <v>500</v>
      </c>
      <c r="M115">
        <v>18</v>
      </c>
      <c r="N115">
        <v>121</v>
      </c>
      <c r="O115" t="str">
        <f>CONCATENATE(Překlady!$C$78,"_",L115,"_",M115,"_",N115," mm")</f>
        <v>üveg_500_18_121 mm</v>
      </c>
      <c r="P115" s="3" t="str">
        <f t="shared" si="7"/>
        <v>529804</v>
      </c>
      <c r="Q115" t="str">
        <f t="shared" si="8"/>
        <v>StrongMax belső fiók elülső üveg  H121 409x76x8mm KB500 (DTDL18)</v>
      </c>
    </row>
    <row r="116" spans="2:17" x14ac:dyDescent="0.25">
      <c r="B116" t="str">
        <f t="shared" si="12"/>
        <v>StrongMax belső fiók elülső üveg H121 509x76x8mm KB600 (DTDL18)</v>
      </c>
      <c r="C116" s="3" t="s">
        <v>995</v>
      </c>
      <c r="D116" t="s">
        <v>996</v>
      </c>
      <c r="E116" t="s">
        <v>997</v>
      </c>
      <c r="F116" t="s">
        <v>998</v>
      </c>
      <c r="G116" t="s">
        <v>999</v>
      </c>
      <c r="H116" t="s">
        <v>1000</v>
      </c>
      <c r="L116">
        <v>600</v>
      </c>
      <c r="M116">
        <v>18</v>
      </c>
      <c r="N116">
        <v>121</v>
      </c>
      <c r="O116" t="str">
        <f>CONCATENATE(Překlady!$C$78,"_",L116,"_",M116,"_",N116," mm")</f>
        <v>üveg_600_18_121 mm</v>
      </c>
      <c r="P116" s="3" t="str">
        <f t="shared" si="7"/>
        <v>529805</v>
      </c>
      <c r="Q116" t="str">
        <f t="shared" si="8"/>
        <v>StrongMax belső fiók elülső üveg H121 509x76x8mm KB600 (DTDL18)</v>
      </c>
    </row>
    <row r="117" spans="2:17" x14ac:dyDescent="0.25">
      <c r="B117" t="str">
        <f t="shared" si="12"/>
        <v>StrongMax belső fiók elülső üveg H121 709x76x8mm KB800 (DTDL18)</v>
      </c>
      <c r="C117" s="3" t="s">
        <v>1001</v>
      </c>
      <c r="D117" t="s">
        <v>1002</v>
      </c>
      <c r="E117" t="s">
        <v>1003</v>
      </c>
      <c r="F117" t="s">
        <v>1004</v>
      </c>
      <c r="G117" t="s">
        <v>1005</v>
      </c>
      <c r="H117" t="s">
        <v>1006</v>
      </c>
      <c r="L117">
        <v>800</v>
      </c>
      <c r="M117">
        <v>18</v>
      </c>
      <c r="N117">
        <v>121</v>
      </c>
      <c r="O117" t="str">
        <f>CONCATENATE(Překlady!$C$78,"_",L117,"_",M117,"_",N117," mm")</f>
        <v>üveg_800_18_121 mm</v>
      </c>
      <c r="P117" s="3" t="str">
        <f t="shared" si="7"/>
        <v>529806</v>
      </c>
      <c r="Q117" t="str">
        <f t="shared" si="8"/>
        <v>StrongMax belső fiók elülső üveg H121 709x76x8mm KB800 (DTDL18)</v>
      </c>
    </row>
    <row r="118" spans="2:17" x14ac:dyDescent="0.25">
      <c r="B118" t="str">
        <f t="shared" si="12"/>
        <v>StrongMax belső fiók elülső üveg H185 409x140x8mm KB500 (DTDL18)</v>
      </c>
      <c r="C118" s="3" t="s">
        <v>1007</v>
      </c>
      <c r="D118" t="s">
        <v>1008</v>
      </c>
      <c r="E118" t="s">
        <v>1009</v>
      </c>
      <c r="F118" t="s">
        <v>1010</v>
      </c>
      <c r="G118" t="s">
        <v>1011</v>
      </c>
      <c r="H118" t="s">
        <v>1012</v>
      </c>
      <c r="L118">
        <v>500</v>
      </c>
      <c r="M118">
        <v>18</v>
      </c>
      <c r="N118">
        <v>185</v>
      </c>
      <c r="O118" t="str">
        <f>CONCATENATE(Překlady!$C$78,"_",L118,"_",M118,"_",N118," mm")</f>
        <v>üveg_500_18_185 mm</v>
      </c>
      <c r="P118" s="3" t="str">
        <f t="shared" si="7"/>
        <v>529807</v>
      </c>
      <c r="Q118" t="str">
        <f t="shared" si="8"/>
        <v>StrongMax belső fiók elülső üveg H185 409x140x8mm KB500 (DTDL18)</v>
      </c>
    </row>
    <row r="119" spans="2:17" x14ac:dyDescent="0.25">
      <c r="B119" t="str">
        <f t="shared" si="12"/>
        <v>StrongMax belső fiók elülső üveg  H185 509x140x8mm KB600 (DTDL18)</v>
      </c>
      <c r="C119" s="3" t="s">
        <v>1013</v>
      </c>
      <c r="D119" t="s">
        <v>1014</v>
      </c>
      <c r="E119" t="s">
        <v>1015</v>
      </c>
      <c r="F119" t="s">
        <v>1016</v>
      </c>
      <c r="G119" t="s">
        <v>1017</v>
      </c>
      <c r="H119" t="s">
        <v>1018</v>
      </c>
      <c r="L119">
        <v>600</v>
      </c>
      <c r="M119">
        <v>18</v>
      </c>
      <c r="N119">
        <v>185</v>
      </c>
      <c r="O119" t="str">
        <f>CONCATENATE(Překlady!$C$78,"_",L119,"_",M119,"_",N119," mm")</f>
        <v>üveg_600_18_185 mm</v>
      </c>
      <c r="P119" s="3" t="str">
        <f t="shared" si="7"/>
        <v>529808</v>
      </c>
      <c r="Q119" t="str">
        <f t="shared" si="8"/>
        <v>StrongMax belső fiók elülső üveg  H185 509x140x8mm KB600 (DTDL18)</v>
      </c>
    </row>
    <row r="120" spans="2:17" x14ac:dyDescent="0.25">
      <c r="B120" t="str">
        <f t="shared" si="12"/>
        <v>StrongMax belső fiók elülső üveg H185 709x140x8mm KB800 (DTDL18)</v>
      </c>
      <c r="C120" s="3" t="s">
        <v>1019</v>
      </c>
      <c r="D120" t="s">
        <v>1020</v>
      </c>
      <c r="E120" t="s">
        <v>1021</v>
      </c>
      <c r="F120" t="s">
        <v>1022</v>
      </c>
      <c r="G120" t="s">
        <v>1023</v>
      </c>
      <c r="H120" t="s">
        <v>1024</v>
      </c>
      <c r="L120">
        <v>800</v>
      </c>
      <c r="M120">
        <v>18</v>
      </c>
      <c r="N120">
        <v>185</v>
      </c>
      <c r="O120" t="str">
        <f>CONCATENATE(Překlady!$C$78,"_",L120,"_",M120,"_",N120," mm")</f>
        <v>üveg_800_18_185 mm</v>
      </c>
      <c r="P120" s="3" t="str">
        <f t="shared" si="7"/>
        <v>529809</v>
      </c>
      <c r="Q120" t="str">
        <f t="shared" si="8"/>
        <v>StrongMax belső fiók elülső üveg H185 709x140x8mm KB800 (DTDL18)</v>
      </c>
    </row>
    <row r="121" spans="2:17" x14ac:dyDescent="0.25">
      <c r="B121" t="str">
        <f t="shared" si="12"/>
        <v>StrongMax 16/18 kereszt reling 1100 mm, sötétszürkr</v>
      </c>
      <c r="C121" s="3" t="s">
        <v>1025</v>
      </c>
      <c r="D121" t="s">
        <v>1026</v>
      </c>
      <c r="E121" t="s">
        <v>1027</v>
      </c>
      <c r="F121" t="s">
        <v>1028</v>
      </c>
      <c r="G121" t="s">
        <v>1029</v>
      </c>
      <c r="H121" t="s">
        <v>1030</v>
      </c>
      <c r="P121" s="3" t="str">
        <f t="shared" si="7"/>
        <v>336114</v>
      </c>
      <c r="Q121" t="str">
        <f t="shared" si="8"/>
        <v>StrongMax 16/18 kereszt reling 1100 mm, sötétszürkr</v>
      </c>
    </row>
    <row r="122" spans="2:17" x14ac:dyDescent="0.25">
      <c r="B122" t="str">
        <f t="shared" si="12"/>
        <v>StrongMax 16/18 kereszt reling 800 mm, sötétszürke</v>
      </c>
      <c r="C122" s="3" t="s">
        <v>1031</v>
      </c>
      <c r="D122" t="s">
        <v>1032</v>
      </c>
      <c r="E122" t="s">
        <v>1033</v>
      </c>
      <c r="F122" t="s">
        <v>1034</v>
      </c>
      <c r="G122" t="s">
        <v>1035</v>
      </c>
      <c r="H122" t="s">
        <v>1036</v>
      </c>
      <c r="P122" s="3" t="str">
        <f t="shared" si="7"/>
        <v>336115</v>
      </c>
      <c r="Q122" t="str">
        <f t="shared" si="8"/>
        <v>StrongMax 16/18 kereszt reling 800 mm, sötétszürke</v>
      </c>
    </row>
    <row r="123" spans="2:17" x14ac:dyDescent="0.25">
      <c r="B123" t="str">
        <f t="shared" si="12"/>
        <v>StrongMax 16/18 kereszt reling 1100 mm, fehér</v>
      </c>
      <c r="C123" s="3" t="s">
        <v>1037</v>
      </c>
      <c r="D123" t="s">
        <v>1038</v>
      </c>
      <c r="E123" t="s">
        <v>1039</v>
      </c>
      <c r="F123" t="s">
        <v>1040</v>
      </c>
      <c r="G123" t="s">
        <v>1041</v>
      </c>
      <c r="H123" t="s">
        <v>1042</v>
      </c>
      <c r="P123" s="3" t="str">
        <f t="shared" si="7"/>
        <v>336116</v>
      </c>
      <c r="Q123" t="str">
        <f t="shared" si="8"/>
        <v>StrongMax 16/18 kereszt reling 1100 mm, fehér</v>
      </c>
    </row>
    <row r="124" spans="2:17" x14ac:dyDescent="0.25">
      <c r="B124" t="str">
        <f t="shared" si="12"/>
        <v>StrongMax 16/18 kereszt reling 800 mm, fehér</v>
      </c>
      <c r="C124" s="3" t="s">
        <v>1043</v>
      </c>
      <c r="D124" t="s">
        <v>1044</v>
      </c>
      <c r="E124" t="s">
        <v>1045</v>
      </c>
      <c r="F124" t="s">
        <v>1046</v>
      </c>
      <c r="G124" t="s">
        <v>1047</v>
      </c>
      <c r="H124" t="s">
        <v>1048</v>
      </c>
      <c r="P124" s="3" t="str">
        <f t="shared" si="7"/>
        <v>336117</v>
      </c>
      <c r="Q124" t="str">
        <f t="shared" si="8"/>
        <v>StrongMax 16/18 kereszt reling 800 mm, fehér</v>
      </c>
    </row>
    <row r="125" spans="2:17" x14ac:dyDescent="0.25">
      <c r="B125" t="str">
        <f t="shared" si="12"/>
        <v>StrongMax 16/18 kereszt reling 1100 mm, fekete</v>
      </c>
      <c r="C125" s="3" t="s">
        <v>1049</v>
      </c>
      <c r="D125" t="s">
        <v>1050</v>
      </c>
      <c r="E125" t="s">
        <v>1051</v>
      </c>
      <c r="F125" t="s">
        <v>1052</v>
      </c>
      <c r="G125" t="s">
        <v>1053</v>
      </c>
      <c r="H125" t="s">
        <v>1054</v>
      </c>
      <c r="P125" s="3" t="str">
        <f t="shared" si="7"/>
        <v>400410</v>
      </c>
      <c r="Q125" t="str">
        <f t="shared" si="8"/>
        <v>StrongMax 16/18 kereszt reling 1100 mm, fekete</v>
      </c>
    </row>
    <row r="126" spans="2:17" x14ac:dyDescent="0.25">
      <c r="B126" t="str">
        <f t="shared" si="12"/>
        <v>StrongMax 16/18 üvegfront tartó belső fiókhoz 89 mm-es, fehér színben</v>
      </c>
      <c r="C126" s="3" t="s">
        <v>1055</v>
      </c>
      <c r="D126" t="s">
        <v>1056</v>
      </c>
      <c r="E126" t="s">
        <v>1057</v>
      </c>
      <c r="F126" t="s">
        <v>1058</v>
      </c>
      <c r="G126" t="s">
        <v>1059</v>
      </c>
      <c r="H126" t="s">
        <v>1060</v>
      </c>
      <c r="M126" t="s">
        <v>510</v>
      </c>
      <c r="N126" t="str">
        <f>Překlady!$C$31</f>
        <v>fehér</v>
      </c>
      <c r="O126" t="str">
        <f>CONCATENATE(M126,"_",N126)</f>
        <v>89 mm_fehér</v>
      </c>
      <c r="P126" s="3" t="str">
        <f t="shared" si="7"/>
        <v>401944</v>
      </c>
      <c r="Q126" t="str">
        <f t="shared" si="8"/>
        <v>StrongMax 16/18 üvegfront tartó belső fiókhoz 89 mm-es, fehér színben</v>
      </c>
    </row>
    <row r="127" spans="2:17" x14ac:dyDescent="0.25">
      <c r="B127" t="str">
        <f t="shared" si="12"/>
        <v>StrongMax 16/18 üvegfront tartó belső fiókhoz 121 mm-es, fehér színben</v>
      </c>
      <c r="C127" s="3" t="s">
        <v>1061</v>
      </c>
      <c r="D127" t="s">
        <v>1062</v>
      </c>
      <c r="E127" t="s">
        <v>1063</v>
      </c>
      <c r="F127" t="s">
        <v>1064</v>
      </c>
      <c r="G127" t="s">
        <v>1065</v>
      </c>
      <c r="H127" t="s">
        <v>1066</v>
      </c>
      <c r="M127" t="s">
        <v>511</v>
      </c>
      <c r="N127" t="str">
        <f>Překlady!$C$31</f>
        <v>fehér</v>
      </c>
      <c r="O127" t="str">
        <f t="shared" ref="O127:O134" si="13">CONCATENATE(M127,"_",N127)</f>
        <v>121 mm_fehér</v>
      </c>
      <c r="P127" s="3" t="str">
        <f t="shared" si="7"/>
        <v>401945</v>
      </c>
      <c r="Q127" t="str">
        <f t="shared" si="8"/>
        <v>StrongMax 16/18 üvegfront tartó belső fiókhoz 121 mm-es, fehér színben</v>
      </c>
    </row>
    <row r="128" spans="2:17" x14ac:dyDescent="0.25">
      <c r="B128" t="str">
        <f t="shared" si="12"/>
        <v>StrongMax 16/18 üvegfront tartó belső fiókhoz 185 mm-es, fehér színben</v>
      </c>
      <c r="C128" s="3" t="s">
        <v>1067</v>
      </c>
      <c r="D128" t="s">
        <v>1068</v>
      </c>
      <c r="E128" t="s">
        <v>1069</v>
      </c>
      <c r="F128" t="s">
        <v>1070</v>
      </c>
      <c r="G128" t="s">
        <v>1071</v>
      </c>
      <c r="H128" t="s">
        <v>1072</v>
      </c>
      <c r="M128" t="s">
        <v>512</v>
      </c>
      <c r="N128" t="str">
        <f>Překlady!$C$31</f>
        <v>fehér</v>
      </c>
      <c r="O128" t="str">
        <f t="shared" si="13"/>
        <v>185 mm_fehér</v>
      </c>
      <c r="P128" s="3" t="str">
        <f t="shared" si="7"/>
        <v>401946</v>
      </c>
      <c r="Q128" t="str">
        <f t="shared" si="8"/>
        <v>StrongMax 16/18 üvegfront tartó belső fiókhoz 185 mm-es, fehér színben</v>
      </c>
    </row>
    <row r="129" spans="2:17" x14ac:dyDescent="0.25">
      <c r="B129" t="str">
        <f t="shared" si="12"/>
        <v>StrongMax 16/18 üvegfront tartó belső fiókhoz 89 mm-es,sötétszürke</v>
      </c>
      <c r="C129" s="3" t="s">
        <v>1073</v>
      </c>
      <c r="D129" t="s">
        <v>1074</v>
      </c>
      <c r="E129" t="s">
        <v>1075</v>
      </c>
      <c r="F129" t="s">
        <v>1076</v>
      </c>
      <c r="G129" t="s">
        <v>1077</v>
      </c>
      <c r="H129" t="s">
        <v>1078</v>
      </c>
      <c r="M129" t="s">
        <v>510</v>
      </c>
      <c r="N129" t="str">
        <f>Překlady!$C$33</f>
        <v>szürke</v>
      </c>
      <c r="O129" t="str">
        <f t="shared" si="13"/>
        <v>89 mm_szürke</v>
      </c>
      <c r="P129" s="3" t="str">
        <f t="shared" si="7"/>
        <v>401948</v>
      </c>
      <c r="Q129" t="str">
        <f t="shared" si="8"/>
        <v>StrongMax 16/18 üvegfront tartó belső fiókhoz 89 mm-es,sötétszürke</v>
      </c>
    </row>
    <row r="130" spans="2:17" x14ac:dyDescent="0.25">
      <c r="B130" t="str">
        <f t="shared" si="12"/>
        <v>StrongMax 16/18 üvegfront tartó belső fiókhoz 121 mm-es, sötétszürke</v>
      </c>
      <c r="C130" s="3" t="s">
        <v>1079</v>
      </c>
      <c r="D130" t="s">
        <v>1080</v>
      </c>
      <c r="E130" t="s">
        <v>1081</v>
      </c>
      <c r="F130" t="s">
        <v>1082</v>
      </c>
      <c r="G130" t="s">
        <v>1083</v>
      </c>
      <c r="H130" t="s">
        <v>1084</v>
      </c>
      <c r="M130" t="s">
        <v>511</v>
      </c>
      <c r="N130" t="str">
        <f>Překlady!$C$33</f>
        <v>szürke</v>
      </c>
      <c r="O130" t="str">
        <f t="shared" si="13"/>
        <v>121 mm_szürke</v>
      </c>
      <c r="P130" s="3" t="str">
        <f t="shared" si="7"/>
        <v>401949</v>
      </c>
      <c r="Q130" t="str">
        <f t="shared" si="8"/>
        <v>StrongMax 16/18 üvegfront tartó belső fiókhoz 121 mm-es, sötétszürke</v>
      </c>
    </row>
    <row r="131" spans="2:17" x14ac:dyDescent="0.25">
      <c r="B131" t="str">
        <f t="shared" si="12"/>
        <v>StrongMax 16/18 üvegfront tartó belső fiókhoz 185 mm-es, sötétszürke  színben</v>
      </c>
      <c r="C131" s="3" t="s">
        <v>1085</v>
      </c>
      <c r="D131" t="s">
        <v>1086</v>
      </c>
      <c r="E131" t="s">
        <v>1087</v>
      </c>
      <c r="F131" t="s">
        <v>1088</v>
      </c>
      <c r="G131" t="s">
        <v>1089</v>
      </c>
      <c r="H131" t="s">
        <v>1090</v>
      </c>
      <c r="M131" t="s">
        <v>512</v>
      </c>
      <c r="N131" t="str">
        <f>Překlady!$C$33</f>
        <v>szürke</v>
      </c>
      <c r="O131" t="str">
        <f t="shared" si="13"/>
        <v>185 mm_szürke</v>
      </c>
      <c r="P131" s="3" t="str">
        <f t="shared" si="7"/>
        <v>401950</v>
      </c>
      <c r="Q131" t="str">
        <f t="shared" si="8"/>
        <v>StrongMax 16/18 üvegfront tartó belső fiókhoz 185 mm-es, sötétszürke  színben</v>
      </c>
    </row>
    <row r="132" spans="2:17" x14ac:dyDescent="0.25">
      <c r="B132" t="str">
        <f t="shared" si="12"/>
        <v>StrongMax 16/18 üvegfront tartó belső fiókhoz 89 mm-es,fekete</v>
      </c>
      <c r="C132" s="3" t="s">
        <v>1091</v>
      </c>
      <c r="D132" t="s">
        <v>1092</v>
      </c>
      <c r="E132" t="s">
        <v>1093</v>
      </c>
      <c r="F132" t="s">
        <v>1094</v>
      </c>
      <c r="G132" t="s">
        <v>1095</v>
      </c>
      <c r="H132" t="s">
        <v>1096</v>
      </c>
      <c r="M132" t="s">
        <v>510</v>
      </c>
      <c r="N132" t="str">
        <f>Překlady!$C$32</f>
        <v>fekete</v>
      </c>
      <c r="O132" t="str">
        <f t="shared" si="13"/>
        <v>89 mm_fekete</v>
      </c>
      <c r="P132" s="3" t="str">
        <f t="shared" si="7"/>
        <v>401952</v>
      </c>
      <c r="Q132" t="str">
        <f t="shared" si="8"/>
        <v>StrongMax 16/18 üvegfront tartó belső fiókhoz 89 mm-es,fekete</v>
      </c>
    </row>
    <row r="133" spans="2:17" x14ac:dyDescent="0.25">
      <c r="B133" t="str">
        <f t="shared" si="12"/>
        <v>StrongMax 16/18 üvegfront tartó belső fiókhoz 121 mm-es, fekete színben</v>
      </c>
      <c r="C133" s="3" t="s">
        <v>1097</v>
      </c>
      <c r="D133" t="s">
        <v>1098</v>
      </c>
      <c r="E133" t="s">
        <v>1099</v>
      </c>
      <c r="F133" t="s">
        <v>1100</v>
      </c>
      <c r="G133" t="s">
        <v>1101</v>
      </c>
      <c r="H133" t="s">
        <v>1102</v>
      </c>
      <c r="M133" t="s">
        <v>511</v>
      </c>
      <c r="N133" t="str">
        <f>Překlady!$C$32</f>
        <v>fekete</v>
      </c>
      <c r="O133" t="str">
        <f t="shared" si="13"/>
        <v>121 mm_fekete</v>
      </c>
      <c r="P133" s="3" t="str">
        <f t="shared" si="7"/>
        <v>401953</v>
      </c>
      <c r="Q133" t="str">
        <f t="shared" si="8"/>
        <v>StrongMax 16/18 üvegfront tartó belső fiókhoz 121 mm-es, fekete színben</v>
      </c>
    </row>
    <row r="134" spans="2:17" x14ac:dyDescent="0.25">
      <c r="B134" t="str">
        <f t="shared" si="12"/>
        <v>StrongMax 16/18 üvegfront tartó belső fiókhoz 185 mm-es, fekete színben</v>
      </c>
      <c r="C134" s="3" t="s">
        <v>1103</v>
      </c>
      <c r="D134" t="s">
        <v>1104</v>
      </c>
      <c r="E134" t="s">
        <v>1105</v>
      </c>
      <c r="F134" t="s">
        <v>1106</v>
      </c>
      <c r="G134" t="s">
        <v>1107</v>
      </c>
      <c r="H134" t="s">
        <v>1108</v>
      </c>
      <c r="M134" t="s">
        <v>512</v>
      </c>
      <c r="N134" t="str">
        <f>Překlady!$C$32</f>
        <v>fekete</v>
      </c>
      <c r="O134" t="str">
        <f t="shared" si="13"/>
        <v>185 mm_fekete</v>
      </c>
      <c r="P134" s="3" t="str">
        <f t="shared" si="7"/>
        <v>401954</v>
      </c>
      <c r="Q134" t="str">
        <f t="shared" si="8"/>
        <v>StrongMax 16/18 üvegfront tartó belső fiókhoz 185 mm-es, fekete színben</v>
      </c>
    </row>
    <row r="135" spans="2:17" x14ac:dyDescent="0.25">
      <c r="B135" t="str">
        <f t="shared" si="12"/>
        <v>StrongMax 16/18 frontrögzítő profil belső fiókhoz 89 mm, fehér</v>
      </c>
      <c r="C135" s="3" t="s">
        <v>1109</v>
      </c>
      <c r="D135" t="s">
        <v>1110</v>
      </c>
      <c r="E135" t="s">
        <v>1111</v>
      </c>
      <c r="F135" t="s">
        <v>1112</v>
      </c>
      <c r="G135" t="s">
        <v>1113</v>
      </c>
      <c r="H135" t="s">
        <v>1114</v>
      </c>
      <c r="O135" t="str">
        <f>CONCATENATE(Překlady!$C$79,"_",Překlady!$C$31,"_89 mm")</f>
        <v>alu profil_fehér_89 mm</v>
      </c>
      <c r="P135" s="3" t="str">
        <f t="shared" si="7"/>
        <v>336104</v>
      </c>
      <c r="Q135" t="str">
        <f t="shared" si="8"/>
        <v>StrongMax 16/18 frontrögzítő profil belső fiókhoz 89 mm, fehér</v>
      </c>
    </row>
    <row r="136" spans="2:17" x14ac:dyDescent="0.25">
      <c r="B136" t="str">
        <f t="shared" si="12"/>
        <v>StrongMax 16/18 frontrögzítő profil belső fiókhoz 121 mm, fehér</v>
      </c>
      <c r="C136" s="3" t="s">
        <v>1115</v>
      </c>
      <c r="D136" t="s">
        <v>1116</v>
      </c>
      <c r="E136" t="s">
        <v>1117</v>
      </c>
      <c r="F136" t="s">
        <v>1118</v>
      </c>
      <c r="G136" t="s">
        <v>1119</v>
      </c>
      <c r="H136" t="s">
        <v>1120</v>
      </c>
      <c r="O136" t="str">
        <f>CONCATENATE(Překlady!$C$79,"_",Překlady!$C$31,"_121 mm")</f>
        <v>alu profil_fehér_121 mm</v>
      </c>
      <c r="P136" s="3" t="str">
        <f t="shared" si="7"/>
        <v>336105</v>
      </c>
      <c r="Q136" t="str">
        <f t="shared" si="8"/>
        <v>StrongMax 16/18 frontrögzítő profil belső fiókhoz 121 mm, fehér</v>
      </c>
    </row>
    <row r="137" spans="2:17" x14ac:dyDescent="0.25">
      <c r="B137" t="str">
        <f t="shared" si="12"/>
        <v>StrongMax 16/18 frontrögzítő profil belső fiókhoz 185 mm, fehér</v>
      </c>
      <c r="C137" s="3" t="s">
        <v>1121</v>
      </c>
      <c r="D137" t="s">
        <v>1122</v>
      </c>
      <c r="E137" t="s">
        <v>1123</v>
      </c>
      <c r="F137" t="s">
        <v>1124</v>
      </c>
      <c r="G137" t="s">
        <v>1125</v>
      </c>
      <c r="H137" t="s">
        <v>1126</v>
      </c>
      <c r="O137" t="str">
        <f>CONCATENATE(Překlady!$C$79,"_",Překlady!$C$31,"_185 mm")</f>
        <v>alu profil_fehér_185 mm</v>
      </c>
      <c r="P137" s="3" t="str">
        <f t="shared" si="7"/>
        <v>336106</v>
      </c>
      <c r="Q137" t="str">
        <f t="shared" si="8"/>
        <v>StrongMax 16/18 frontrögzítő profil belső fiókhoz 185 mm, fehér</v>
      </c>
    </row>
    <row r="138" spans="2:17" x14ac:dyDescent="0.25">
      <c r="B138" t="str">
        <f t="shared" si="12"/>
        <v>StrongMax 16/18 frontrögzítő profil belső fiókhoz 89 mm, sötétszürke</v>
      </c>
      <c r="C138" s="3" t="s">
        <v>1127</v>
      </c>
      <c r="D138" t="s">
        <v>1128</v>
      </c>
      <c r="E138" t="s">
        <v>1129</v>
      </c>
      <c r="F138" t="s">
        <v>1130</v>
      </c>
      <c r="G138" t="s">
        <v>1131</v>
      </c>
      <c r="H138" t="s">
        <v>1132</v>
      </c>
      <c r="O138" t="str">
        <f>CONCATENATE(Překlady!$C$79,"_",Překlady!$C$33,"_89 mm")</f>
        <v>alu profil_szürke_89 mm</v>
      </c>
      <c r="P138" s="3" t="str">
        <f t="shared" si="7"/>
        <v>336109</v>
      </c>
      <c r="Q138" t="str">
        <f t="shared" si="8"/>
        <v>StrongMax 16/18 frontrögzítő profil belső fiókhoz 89 mm, sötétszürke</v>
      </c>
    </row>
    <row r="139" spans="2:17" x14ac:dyDescent="0.25">
      <c r="B139" t="str">
        <f t="shared" si="12"/>
        <v>StrongMax 16/18 frontrögzítő profil belső fiókhoz 121 mm, sötétszürke</v>
      </c>
      <c r="C139" s="3" t="s">
        <v>1133</v>
      </c>
      <c r="D139" t="s">
        <v>1134</v>
      </c>
      <c r="E139" t="s">
        <v>1135</v>
      </c>
      <c r="F139" t="s">
        <v>1136</v>
      </c>
      <c r="G139" t="s">
        <v>1137</v>
      </c>
      <c r="H139" t="s">
        <v>1138</v>
      </c>
      <c r="O139" t="str">
        <f>CONCATENATE(Překlady!$C$79,"_",Překlady!$C$33,"_121 mm")</f>
        <v>alu profil_szürke_121 mm</v>
      </c>
      <c r="P139" s="3" t="str">
        <f t="shared" si="7"/>
        <v>336110</v>
      </c>
      <c r="Q139" t="str">
        <f t="shared" si="8"/>
        <v>StrongMax 16/18 frontrögzítő profil belső fiókhoz 121 mm, sötétszürke</v>
      </c>
    </row>
    <row r="140" spans="2:17" x14ac:dyDescent="0.25">
      <c r="B140" t="str">
        <f t="shared" si="12"/>
        <v>StrongMax 16/18 frontrögzítő profil belső fiókhoz 185 mm, sötétszürke</v>
      </c>
      <c r="C140" s="3" t="s">
        <v>1139</v>
      </c>
      <c r="D140" t="s">
        <v>1140</v>
      </c>
      <c r="E140" t="s">
        <v>1141</v>
      </c>
      <c r="F140" t="s">
        <v>1142</v>
      </c>
      <c r="G140" t="s">
        <v>1143</v>
      </c>
      <c r="H140" t="s">
        <v>1144</v>
      </c>
      <c r="O140" t="str">
        <f>CONCATENATE(Překlady!$C$79,"_",Překlady!$C$33,"_185 mm")</f>
        <v>alu profil_szürke_185 mm</v>
      </c>
      <c r="P140" s="3" t="str">
        <f t="shared" si="7"/>
        <v>336111</v>
      </c>
      <c r="Q140" t="str">
        <f t="shared" si="8"/>
        <v>StrongMax 16/18 frontrögzítő profil belső fiókhoz 185 mm, sötétszürke</v>
      </c>
    </row>
    <row r="141" spans="2:17" x14ac:dyDescent="0.25">
      <c r="B141" t="str">
        <f t="shared" si="12"/>
        <v>StrongMax 16/18 frontrögzítő profil belső fiókhoz 89 mm,fekete</v>
      </c>
      <c r="C141" s="3" t="s">
        <v>1145</v>
      </c>
      <c r="D141" t="s">
        <v>1146</v>
      </c>
      <c r="E141" t="s">
        <v>1147</v>
      </c>
      <c r="F141" t="s">
        <v>1148</v>
      </c>
      <c r="G141" t="s">
        <v>1149</v>
      </c>
      <c r="H141" t="s">
        <v>1150</v>
      </c>
      <c r="O141" t="str">
        <f>CONCATENATE(Překlady!$C$79,"_",Překlady!$C$32,"_89 mm")</f>
        <v>alu profil_fekete_89 mm</v>
      </c>
      <c r="P141" s="3" t="str">
        <f t="shared" si="7"/>
        <v>400404</v>
      </c>
      <c r="Q141" t="str">
        <f t="shared" si="8"/>
        <v>StrongMax 16/18 frontrögzítő profil belső fiókhoz 89 mm,fekete</v>
      </c>
    </row>
    <row r="142" spans="2:17" x14ac:dyDescent="0.25">
      <c r="B142" t="str">
        <f t="shared" si="12"/>
        <v>StrongMax 16/18 frontrögzítő profil belső fiókhoz 121 mm, fekete</v>
      </c>
      <c r="C142" s="3" t="s">
        <v>1151</v>
      </c>
      <c r="D142" t="s">
        <v>1152</v>
      </c>
      <c r="E142" t="s">
        <v>1153</v>
      </c>
      <c r="F142" t="s">
        <v>1154</v>
      </c>
      <c r="G142" t="s">
        <v>1155</v>
      </c>
      <c r="H142" t="s">
        <v>1156</v>
      </c>
      <c r="O142" t="str">
        <f>CONCATENATE(Překlady!$C$79,"_",Překlady!$C$32,"_121 mm")</f>
        <v>alu profil_fekete_121 mm</v>
      </c>
      <c r="P142" s="3" t="str">
        <f t="shared" si="7"/>
        <v>400405</v>
      </c>
      <c r="Q142" t="str">
        <f t="shared" si="8"/>
        <v>StrongMax 16/18 frontrögzítő profil belső fiókhoz 121 mm, fekete</v>
      </c>
    </row>
    <row r="143" spans="2:17" x14ac:dyDescent="0.25">
      <c r="B143" t="str">
        <f t="shared" si="12"/>
        <v>StrongMax 16/18 frontrögzítő profil belső fiókhoz 185 mm, fekete</v>
      </c>
      <c r="C143" s="3" t="s">
        <v>1157</v>
      </c>
      <c r="D143" t="s">
        <v>1158</v>
      </c>
      <c r="E143" t="s">
        <v>1159</v>
      </c>
      <c r="F143" t="s">
        <v>1160</v>
      </c>
      <c r="G143" t="s">
        <v>1161</v>
      </c>
      <c r="H143" t="s">
        <v>1162</v>
      </c>
      <c r="O143" t="str">
        <f>CONCATENATE(Překlady!$C$79,"_",Překlady!$C$32,"_185 mm")</f>
        <v>alu profil_fekete_185 mm</v>
      </c>
      <c r="P143" s="3" t="str">
        <f t="shared" si="7"/>
        <v>400406</v>
      </c>
      <c r="Q143" t="str">
        <f t="shared" si="8"/>
        <v>StrongMax 16/18 frontrögzítő profil belső fiókhoz 185 mm, fekete</v>
      </c>
    </row>
    <row r="144" spans="2:17" x14ac:dyDescent="0.25">
      <c r="B144" t="str">
        <f t="shared" ref="B144:B175" si="14">IF($D$1=1,D:D,IF($D$1=2,E:E,IF($D$1=3,F:F,IF($D$1=4,G:G,IF($D$1=5,H:H)))))</f>
        <v>StrongMax 16/18 alu profil pro čelo se sklem 1100 mm, bílá</v>
      </c>
      <c r="C144" s="3" t="s">
        <v>1163</v>
      </c>
      <c r="D144" t="s">
        <v>1164</v>
      </c>
      <c r="E144" t="s">
        <v>1165</v>
      </c>
      <c r="F144" t="s">
        <v>1166</v>
      </c>
      <c r="G144" t="s">
        <v>1167</v>
      </c>
      <c r="H144" t="s">
        <v>1168</v>
      </c>
      <c r="O144" t="str">
        <f>Překlady!$C$31</f>
        <v>fehér</v>
      </c>
      <c r="P144" s="3" t="str">
        <f t="shared" ref="P144:P207" si="15">C144</f>
        <v>401947</v>
      </c>
      <c r="Q144" t="str">
        <f t="shared" ref="Q144:Q207" si="16">B144</f>
        <v>StrongMax 16/18 alu profil pro čelo se sklem 1100 mm, bílá</v>
      </c>
    </row>
    <row r="145" spans="2:17" x14ac:dyDescent="0.25">
      <c r="B145" t="str">
        <f t="shared" si="14"/>
        <v>StrongMax 16/18 alu profil pro čelo se sklem  1100 mm, tmavě šedá</v>
      </c>
      <c r="C145" s="3" t="s">
        <v>1169</v>
      </c>
      <c r="D145" t="s">
        <v>1170</v>
      </c>
      <c r="E145" t="s">
        <v>1171</v>
      </c>
      <c r="F145" t="s">
        <v>1172</v>
      </c>
      <c r="G145" t="s">
        <v>1173</v>
      </c>
      <c r="H145" t="s">
        <v>1174</v>
      </c>
      <c r="O145" t="str">
        <f>Překlady!$C$33</f>
        <v>szürke</v>
      </c>
      <c r="P145" s="3" t="str">
        <f t="shared" si="15"/>
        <v>401951</v>
      </c>
      <c r="Q145" t="str">
        <f t="shared" si="16"/>
        <v>StrongMax 16/18 alu profil pro čelo se sklem  1100 mm, tmavě šedá</v>
      </c>
    </row>
    <row r="146" spans="2:17" x14ac:dyDescent="0.25">
      <c r="B146" t="str">
        <f t="shared" si="14"/>
        <v>StrongMax 16/18 alu profil pro čelo se sklem 1100 mm, černá</v>
      </c>
      <c r="C146" s="3" t="s">
        <v>1175</v>
      </c>
      <c r="D146" t="s">
        <v>1176</v>
      </c>
      <c r="E146" t="s">
        <v>1177</v>
      </c>
      <c r="F146" t="s">
        <v>1178</v>
      </c>
      <c r="G146" t="s">
        <v>1179</v>
      </c>
      <c r="H146" t="s">
        <v>1180</v>
      </c>
      <c r="O146" t="str">
        <f>Překlady!$C$32</f>
        <v>fekete</v>
      </c>
      <c r="P146" s="3" t="str">
        <f t="shared" si="15"/>
        <v>401955</v>
      </c>
      <c r="Q146" t="str">
        <f t="shared" si="16"/>
        <v>StrongMax 16/18 alu profil pro čelo se sklem 1100 mm, černá</v>
      </c>
    </row>
    <row r="147" spans="2:17" x14ac:dyDescent="0.25">
      <c r="B147" t="str">
        <f t="shared" si="14"/>
        <v>StrongMax 16/18 előlapprofil 800 mm, sötétszürke</v>
      </c>
      <c r="C147" s="3" t="s">
        <v>1181</v>
      </c>
      <c r="D147" t="s">
        <v>1182</v>
      </c>
      <c r="E147" t="s">
        <v>1183</v>
      </c>
      <c r="F147" t="s">
        <v>1184</v>
      </c>
      <c r="G147" t="s">
        <v>1185</v>
      </c>
      <c r="H147" t="s">
        <v>1186</v>
      </c>
      <c r="O147" t="str">
        <f>Překlady!C33</f>
        <v>szürke</v>
      </c>
      <c r="P147" s="3" t="str">
        <f t="shared" si="15"/>
        <v>336107</v>
      </c>
      <c r="Q147" t="str">
        <f t="shared" si="16"/>
        <v>StrongMax 16/18 előlapprofil 800 mm, sötétszürke</v>
      </c>
    </row>
    <row r="148" spans="2:17" x14ac:dyDescent="0.25">
      <c r="B148" t="str">
        <f t="shared" si="14"/>
        <v>StrongMax 16/18 előlapprofil 1100 mm, sötétszürke</v>
      </c>
      <c r="C148" s="3" t="s">
        <v>516</v>
      </c>
      <c r="D148" t="s">
        <v>1187</v>
      </c>
      <c r="E148" t="s">
        <v>1188</v>
      </c>
      <c r="F148" t="s">
        <v>1189</v>
      </c>
      <c r="G148" t="s">
        <v>1190</v>
      </c>
      <c r="H148" t="s">
        <v>1191</v>
      </c>
      <c r="O148" t="str">
        <f>Překlady!C33</f>
        <v>szürke</v>
      </c>
      <c r="P148" s="3" t="str">
        <f t="shared" si="15"/>
        <v>336108</v>
      </c>
      <c r="Q148" t="str">
        <f t="shared" si="16"/>
        <v>StrongMax 16/18 előlapprofil 1100 mm, sötétszürke</v>
      </c>
    </row>
    <row r="149" spans="2:17" x14ac:dyDescent="0.25">
      <c r="B149" t="str">
        <f t="shared" si="14"/>
        <v>StrongMax 16/18 előlapprofil 800 mm, fehér</v>
      </c>
      <c r="C149" s="3" t="s">
        <v>1192</v>
      </c>
      <c r="D149" t="s">
        <v>1193</v>
      </c>
      <c r="E149" t="s">
        <v>1194</v>
      </c>
      <c r="F149" t="s">
        <v>1195</v>
      </c>
      <c r="G149" t="s">
        <v>1196</v>
      </c>
      <c r="H149" t="s">
        <v>1197</v>
      </c>
      <c r="O149" t="str">
        <f>Překlady!C31</f>
        <v>fehér</v>
      </c>
      <c r="P149" s="3" t="str">
        <f t="shared" si="15"/>
        <v>336112</v>
      </c>
      <c r="Q149" t="str">
        <f t="shared" si="16"/>
        <v>StrongMax 16/18 előlapprofil 800 mm, fehér</v>
      </c>
    </row>
    <row r="150" spans="2:17" x14ac:dyDescent="0.25">
      <c r="B150" t="str">
        <f t="shared" si="14"/>
        <v>StrongMax 16/18 előlapprofil 1100 mm, fehér</v>
      </c>
      <c r="C150" s="3" t="s">
        <v>1198</v>
      </c>
      <c r="D150" t="s">
        <v>1199</v>
      </c>
      <c r="E150" t="s">
        <v>1200</v>
      </c>
      <c r="F150" t="s">
        <v>1201</v>
      </c>
      <c r="G150" t="s">
        <v>1202</v>
      </c>
      <c r="H150" t="s">
        <v>1203</v>
      </c>
      <c r="O150" t="str">
        <f>Překlady!C31</f>
        <v>fehér</v>
      </c>
      <c r="P150" s="3" t="str">
        <f t="shared" si="15"/>
        <v>336113</v>
      </c>
      <c r="Q150" t="str">
        <f t="shared" si="16"/>
        <v>StrongMax 16/18 előlapprofil 1100 mm, fehér</v>
      </c>
    </row>
    <row r="151" spans="2:17" x14ac:dyDescent="0.25">
      <c r="B151" t="str">
        <f t="shared" si="14"/>
        <v>StrongMax 16/18 előlapprofil 1100 mm, fekete</v>
      </c>
      <c r="C151" s="3" t="s">
        <v>1204</v>
      </c>
      <c r="D151" t="s">
        <v>1205</v>
      </c>
      <c r="E151" t="s">
        <v>1206</v>
      </c>
      <c r="F151" t="s">
        <v>1207</v>
      </c>
      <c r="G151" t="s">
        <v>1208</v>
      </c>
      <c r="H151" t="s">
        <v>1209</v>
      </c>
      <c r="P151" s="3" t="str">
        <f t="shared" si="15"/>
        <v>400408</v>
      </c>
      <c r="Q151" t="str">
        <f t="shared" si="16"/>
        <v>StrongMax 16/18 előlapprofil 1100 mm, fekete</v>
      </c>
    </row>
    <row r="152" spans="2:17" x14ac:dyDescent="0.25">
      <c r="B152" t="str">
        <f t="shared" si="14"/>
        <v>StrongMax 18 oldalfalak 89/300 mm, sötétszürke J+B</v>
      </c>
      <c r="C152" s="3">
        <v>502867</v>
      </c>
      <c r="D152" t="s">
        <v>1210</v>
      </c>
      <c r="E152" t="s">
        <v>1211</v>
      </c>
      <c r="F152" t="s">
        <v>1212</v>
      </c>
      <c r="G152" t="s">
        <v>1213</v>
      </c>
      <c r="H152" t="s">
        <v>1214</v>
      </c>
      <c r="K152">
        <v>89</v>
      </c>
      <c r="L152" t="str">
        <f>Překlady!$C$33</f>
        <v>szürke</v>
      </c>
      <c r="M152">
        <v>300</v>
      </c>
      <c r="N152" t="str">
        <f>Překlady!$C$82</f>
        <v>tömör oldalfal</v>
      </c>
      <c r="O152" t="str">
        <f>CONCATENATE(K152," mm_",L152,"_",M152,"_",N152)</f>
        <v>89 mm_szürke_300_tömör oldalfal</v>
      </c>
      <c r="P152" s="3">
        <f t="shared" si="15"/>
        <v>502867</v>
      </c>
      <c r="Q152" t="str">
        <f t="shared" si="16"/>
        <v>StrongMax 18 oldalfalak 89/300 mm, sötétszürke J+B</v>
      </c>
    </row>
    <row r="153" spans="2:17" x14ac:dyDescent="0.25">
      <c r="B153" t="str">
        <f t="shared" si="14"/>
        <v>StrongMax 18 oldalfalak 89/350 mm, sötétszürke J+B</v>
      </c>
      <c r="C153" s="3">
        <v>502866</v>
      </c>
      <c r="D153" t="s">
        <v>1215</v>
      </c>
      <c r="E153" t="s">
        <v>1216</v>
      </c>
      <c r="F153" t="s">
        <v>1217</v>
      </c>
      <c r="G153" t="s">
        <v>1218</v>
      </c>
      <c r="H153" t="s">
        <v>1219</v>
      </c>
      <c r="K153">
        <v>89</v>
      </c>
      <c r="L153" t="str">
        <f>Překlady!$C$33</f>
        <v>szürke</v>
      </c>
      <c r="M153">
        <v>350</v>
      </c>
      <c r="N153" t="str">
        <f>Překlady!$C$82</f>
        <v>tömör oldalfal</v>
      </c>
      <c r="O153" t="str">
        <f t="shared" ref="O153:O216" si="17">CONCATENATE(K153," mm_",L153,"_",M153,"_",N153)</f>
        <v>89 mm_szürke_350_tömör oldalfal</v>
      </c>
      <c r="P153" s="3">
        <f t="shared" si="15"/>
        <v>502866</v>
      </c>
      <c r="Q153" t="str">
        <f t="shared" si="16"/>
        <v>StrongMax 18 oldalfalak 89/350 mm, sötétszürke J+B</v>
      </c>
    </row>
    <row r="154" spans="2:17" x14ac:dyDescent="0.25">
      <c r="B154" t="str">
        <f t="shared" si="14"/>
        <v>StrongMax 18 oldalfalak 89/400 mm, sötétszürke J+B</v>
      </c>
      <c r="C154" s="3">
        <v>502865</v>
      </c>
      <c r="D154" t="s">
        <v>1220</v>
      </c>
      <c r="E154" t="s">
        <v>1221</v>
      </c>
      <c r="F154" t="s">
        <v>1222</v>
      </c>
      <c r="G154" t="s">
        <v>1223</v>
      </c>
      <c r="H154" t="s">
        <v>1224</v>
      </c>
      <c r="K154">
        <v>89</v>
      </c>
      <c r="L154" t="str">
        <f>Překlady!$C$33</f>
        <v>szürke</v>
      </c>
      <c r="M154">
        <v>400</v>
      </c>
      <c r="N154" t="str">
        <f>Překlady!$C$82</f>
        <v>tömör oldalfal</v>
      </c>
      <c r="O154" t="str">
        <f t="shared" si="17"/>
        <v>89 mm_szürke_400_tömör oldalfal</v>
      </c>
      <c r="P154" s="3">
        <f t="shared" si="15"/>
        <v>502865</v>
      </c>
      <c r="Q154" t="str">
        <f t="shared" si="16"/>
        <v>StrongMax 18 oldalfalak 89/400 mm, sötétszürke J+B</v>
      </c>
    </row>
    <row r="155" spans="2:17" x14ac:dyDescent="0.25">
      <c r="B155" t="str">
        <f t="shared" si="14"/>
        <v>StrongMax 18 oldalfalak 89/450 mm, sötétszürke J+B</v>
      </c>
      <c r="C155" s="3">
        <v>502864</v>
      </c>
      <c r="D155" t="s">
        <v>1225</v>
      </c>
      <c r="E155" t="s">
        <v>1226</v>
      </c>
      <c r="F155" t="s">
        <v>1227</v>
      </c>
      <c r="G155" t="s">
        <v>1228</v>
      </c>
      <c r="H155" t="s">
        <v>1229</v>
      </c>
      <c r="K155">
        <v>89</v>
      </c>
      <c r="L155" t="str">
        <f>Překlady!$C$33</f>
        <v>szürke</v>
      </c>
      <c r="M155">
        <v>450</v>
      </c>
      <c r="N155" t="str">
        <f>Překlady!$C$82</f>
        <v>tömör oldalfal</v>
      </c>
      <c r="O155" t="str">
        <f t="shared" si="17"/>
        <v>89 mm_szürke_450_tömör oldalfal</v>
      </c>
      <c r="P155" s="3">
        <f t="shared" si="15"/>
        <v>502864</v>
      </c>
      <c r="Q155" t="str">
        <f t="shared" si="16"/>
        <v>StrongMax 18 oldalfalak 89/450 mm, sötétszürke J+B</v>
      </c>
    </row>
    <row r="156" spans="2:17" x14ac:dyDescent="0.25">
      <c r="B156" t="str">
        <f t="shared" si="14"/>
        <v>StrongMax 18 oldalfalak 89/500 mm, sötétszürke J+B</v>
      </c>
      <c r="C156" s="3">
        <v>502863</v>
      </c>
      <c r="D156" t="s">
        <v>1230</v>
      </c>
      <c r="E156" t="s">
        <v>1231</v>
      </c>
      <c r="F156" t="s">
        <v>1232</v>
      </c>
      <c r="G156" t="s">
        <v>1233</v>
      </c>
      <c r="H156" t="s">
        <v>1234</v>
      </c>
      <c r="K156">
        <v>89</v>
      </c>
      <c r="L156" t="str">
        <f>Překlady!$C$33</f>
        <v>szürke</v>
      </c>
      <c r="M156">
        <v>500</v>
      </c>
      <c r="N156" t="str">
        <f>Překlady!$C$82</f>
        <v>tömör oldalfal</v>
      </c>
      <c r="O156" t="str">
        <f t="shared" si="17"/>
        <v>89 mm_szürke_500_tömör oldalfal</v>
      </c>
      <c r="P156" s="3">
        <f t="shared" si="15"/>
        <v>502863</v>
      </c>
      <c r="Q156" t="str">
        <f t="shared" si="16"/>
        <v>StrongMax 18 oldalfalak 89/500 mm, sötétszürke J+B</v>
      </c>
    </row>
    <row r="157" spans="2:17" x14ac:dyDescent="0.25">
      <c r="B157" t="str">
        <f t="shared" si="14"/>
        <v>StrongMax 18 oldalfalak 89/550 mm, sötétszürke J+B</v>
      </c>
      <c r="C157" s="3">
        <v>502862</v>
      </c>
      <c r="D157" t="s">
        <v>1235</v>
      </c>
      <c r="E157" t="s">
        <v>1236</v>
      </c>
      <c r="F157" t="s">
        <v>1237</v>
      </c>
      <c r="G157" t="s">
        <v>1238</v>
      </c>
      <c r="H157" t="s">
        <v>1239</v>
      </c>
      <c r="K157">
        <v>89</v>
      </c>
      <c r="L157" t="str">
        <f>Překlady!$C$33</f>
        <v>szürke</v>
      </c>
      <c r="M157">
        <v>550</v>
      </c>
      <c r="N157" t="str">
        <f>Překlady!$C$82</f>
        <v>tömör oldalfal</v>
      </c>
      <c r="O157" t="str">
        <f t="shared" si="17"/>
        <v>89 mm_szürke_550_tömör oldalfal</v>
      </c>
      <c r="P157" s="3">
        <f t="shared" si="15"/>
        <v>502862</v>
      </c>
      <c r="Q157" t="str">
        <f t="shared" si="16"/>
        <v>StrongMax 18 oldalfalak 89/550 mm, sötétszürke J+B</v>
      </c>
    </row>
    <row r="158" spans="2:17" x14ac:dyDescent="0.25">
      <c r="B158" t="str">
        <f t="shared" si="14"/>
        <v>StrongMax 18 oldalfalak 89/600 mm, SÖTÉTSZÜRKE J+B</v>
      </c>
      <c r="C158" s="3">
        <v>503115</v>
      </c>
      <c r="D158" t="s">
        <v>1240</v>
      </c>
      <c r="E158" t="s">
        <v>1241</v>
      </c>
      <c r="F158" t="s">
        <v>1242</v>
      </c>
      <c r="G158" t="s">
        <v>1243</v>
      </c>
      <c r="H158" t="s">
        <v>1244</v>
      </c>
      <c r="K158">
        <v>89</v>
      </c>
      <c r="L158" t="str">
        <f>Překlady!$C$33</f>
        <v>szürke</v>
      </c>
      <c r="M158">
        <v>600</v>
      </c>
      <c r="N158" t="str">
        <f>Překlady!$C$82</f>
        <v>tömör oldalfal</v>
      </c>
      <c r="O158" t="str">
        <f t="shared" si="17"/>
        <v>89 mm_szürke_600_tömör oldalfal</v>
      </c>
      <c r="P158" s="3">
        <f t="shared" si="15"/>
        <v>503115</v>
      </c>
      <c r="Q158" t="str">
        <f t="shared" si="16"/>
        <v>StrongMax 18 oldalfalak 89/600 mm, SÖTÉTSZÜRKE J+B</v>
      </c>
    </row>
    <row r="159" spans="2:17" x14ac:dyDescent="0.25">
      <c r="B159" t="str">
        <f t="shared" si="14"/>
        <v>StrongMax 18 oldalfalak 89/650 mm, sötétszürke J+B</v>
      </c>
      <c r="C159" s="3">
        <v>503116</v>
      </c>
      <c r="D159" t="s">
        <v>1245</v>
      </c>
      <c r="E159" t="s">
        <v>1246</v>
      </c>
      <c r="F159" t="s">
        <v>1247</v>
      </c>
      <c r="G159" t="s">
        <v>1248</v>
      </c>
      <c r="H159" t="s">
        <v>1249</v>
      </c>
      <c r="K159">
        <v>89</v>
      </c>
      <c r="L159" t="str">
        <f>Překlady!$C$33</f>
        <v>szürke</v>
      </c>
      <c r="M159">
        <v>650</v>
      </c>
      <c r="N159" t="str">
        <f>Překlady!$C$82</f>
        <v>tömör oldalfal</v>
      </c>
      <c r="O159" t="str">
        <f t="shared" si="17"/>
        <v>89 mm_szürke_650_tömör oldalfal</v>
      </c>
      <c r="P159" s="3">
        <f t="shared" si="15"/>
        <v>503116</v>
      </c>
      <c r="Q159" t="str">
        <f t="shared" si="16"/>
        <v>StrongMax 18 oldalfalak 89/650 mm, sötétszürke J+B</v>
      </c>
    </row>
    <row r="160" spans="2:17" x14ac:dyDescent="0.25">
      <c r="B160" t="str">
        <f t="shared" si="14"/>
        <v>StrongMax 18 oldalfalak 121/300 mm, sötétszürke J+B</v>
      </c>
      <c r="C160" s="3">
        <v>502881</v>
      </c>
      <c r="D160" t="s">
        <v>1250</v>
      </c>
      <c r="E160" t="s">
        <v>1251</v>
      </c>
      <c r="F160" t="s">
        <v>1252</v>
      </c>
      <c r="G160" t="s">
        <v>1253</v>
      </c>
      <c r="H160" t="s">
        <v>1254</v>
      </c>
      <c r="K160">
        <v>121</v>
      </c>
      <c r="L160" t="str">
        <f>Překlady!$C$33</f>
        <v>szürke</v>
      </c>
      <c r="M160">
        <v>300</v>
      </c>
      <c r="N160" t="str">
        <f>Překlady!$C$82</f>
        <v>tömör oldalfal</v>
      </c>
      <c r="O160" t="str">
        <f t="shared" si="17"/>
        <v>121 mm_szürke_300_tömör oldalfal</v>
      </c>
      <c r="P160" s="3">
        <f t="shared" si="15"/>
        <v>502881</v>
      </c>
      <c r="Q160" t="str">
        <f t="shared" si="16"/>
        <v>StrongMax 18 oldalfalak 121/300 mm, sötétszürke J+B</v>
      </c>
    </row>
    <row r="161" spans="2:17" x14ac:dyDescent="0.25">
      <c r="B161" t="str">
        <f t="shared" si="14"/>
        <v>StrongMax 18 oldalfalak 121/350 mm, sötétszürke J+B</v>
      </c>
      <c r="C161" s="3">
        <v>502880</v>
      </c>
      <c r="D161" t="s">
        <v>1255</v>
      </c>
      <c r="E161" t="s">
        <v>1256</v>
      </c>
      <c r="F161" t="s">
        <v>1257</v>
      </c>
      <c r="G161" t="s">
        <v>1258</v>
      </c>
      <c r="H161" t="s">
        <v>1259</v>
      </c>
      <c r="K161">
        <v>121</v>
      </c>
      <c r="L161" t="str">
        <f>Překlady!$C$33</f>
        <v>szürke</v>
      </c>
      <c r="M161">
        <v>350</v>
      </c>
      <c r="N161" t="str">
        <f>Překlady!$C$82</f>
        <v>tömör oldalfal</v>
      </c>
      <c r="O161" t="str">
        <f t="shared" si="17"/>
        <v>121 mm_szürke_350_tömör oldalfal</v>
      </c>
      <c r="P161" s="3">
        <f t="shared" si="15"/>
        <v>502880</v>
      </c>
      <c r="Q161" t="str">
        <f t="shared" si="16"/>
        <v>StrongMax 18 oldalfalak 121/350 mm, sötétszürke J+B</v>
      </c>
    </row>
    <row r="162" spans="2:17" x14ac:dyDescent="0.25">
      <c r="B162" t="str">
        <f t="shared" si="14"/>
        <v>StrongMax 18 oldalfalak 121/400 mm, sötétszürke J+B</v>
      </c>
      <c r="C162" s="3">
        <v>502879</v>
      </c>
      <c r="D162" t="s">
        <v>1260</v>
      </c>
      <c r="E162" t="s">
        <v>1261</v>
      </c>
      <c r="F162" t="s">
        <v>1262</v>
      </c>
      <c r="G162" t="s">
        <v>1263</v>
      </c>
      <c r="H162" t="s">
        <v>1264</v>
      </c>
      <c r="K162">
        <v>121</v>
      </c>
      <c r="L162" t="str">
        <f>Překlady!$C$33</f>
        <v>szürke</v>
      </c>
      <c r="M162">
        <v>400</v>
      </c>
      <c r="N162" t="str">
        <f>Překlady!$C$82</f>
        <v>tömör oldalfal</v>
      </c>
      <c r="O162" t="str">
        <f t="shared" si="17"/>
        <v>121 mm_szürke_400_tömör oldalfal</v>
      </c>
      <c r="P162" s="3">
        <f t="shared" si="15"/>
        <v>502879</v>
      </c>
      <c r="Q162" t="str">
        <f t="shared" si="16"/>
        <v>StrongMax 18 oldalfalak 121/400 mm, sötétszürke J+B</v>
      </c>
    </row>
    <row r="163" spans="2:17" x14ac:dyDescent="0.25">
      <c r="B163" t="str">
        <f t="shared" si="14"/>
        <v>StrongMax 18 oldalfalak 121/450 mm, sötétszürke J+B</v>
      </c>
      <c r="C163" s="3">
        <v>502878</v>
      </c>
      <c r="D163" t="s">
        <v>1265</v>
      </c>
      <c r="E163" t="s">
        <v>1266</v>
      </c>
      <c r="F163" t="s">
        <v>1267</v>
      </c>
      <c r="G163" t="s">
        <v>1268</v>
      </c>
      <c r="H163" t="s">
        <v>1269</v>
      </c>
      <c r="K163">
        <v>121</v>
      </c>
      <c r="L163" t="str">
        <f>Překlady!$C$33</f>
        <v>szürke</v>
      </c>
      <c r="M163">
        <v>450</v>
      </c>
      <c r="N163" t="str">
        <f>Překlady!$C$82</f>
        <v>tömör oldalfal</v>
      </c>
      <c r="O163" t="str">
        <f t="shared" si="17"/>
        <v>121 mm_szürke_450_tömör oldalfal</v>
      </c>
      <c r="P163" s="3">
        <f t="shared" si="15"/>
        <v>502878</v>
      </c>
      <c r="Q163" t="str">
        <f t="shared" si="16"/>
        <v>StrongMax 18 oldalfalak 121/450 mm, sötétszürke J+B</v>
      </c>
    </row>
    <row r="164" spans="2:17" x14ac:dyDescent="0.25">
      <c r="B164" t="str">
        <f t="shared" si="14"/>
        <v>StrongMax 18 oldalfalak 121/500 mm, sötétszürke J+B</v>
      </c>
      <c r="C164" s="3">
        <v>502877</v>
      </c>
      <c r="D164" t="s">
        <v>1270</v>
      </c>
      <c r="E164" t="s">
        <v>1271</v>
      </c>
      <c r="F164" t="s">
        <v>1272</v>
      </c>
      <c r="G164" t="s">
        <v>1273</v>
      </c>
      <c r="H164" t="s">
        <v>1274</v>
      </c>
      <c r="K164">
        <v>121</v>
      </c>
      <c r="L164" t="str">
        <f>Překlady!$C$33</f>
        <v>szürke</v>
      </c>
      <c r="M164">
        <v>500</v>
      </c>
      <c r="N164" t="str">
        <f>Překlady!$C$82</f>
        <v>tömör oldalfal</v>
      </c>
      <c r="O164" t="str">
        <f t="shared" si="17"/>
        <v>121 mm_szürke_500_tömör oldalfal</v>
      </c>
      <c r="P164" s="3">
        <f t="shared" si="15"/>
        <v>502877</v>
      </c>
      <c r="Q164" t="str">
        <f t="shared" si="16"/>
        <v>StrongMax 18 oldalfalak 121/500 mm, sötétszürke J+B</v>
      </c>
    </row>
    <row r="165" spans="2:17" x14ac:dyDescent="0.25">
      <c r="B165" t="str">
        <f t="shared" si="14"/>
        <v>StrongMax 18 oldalfalak 121/550 mm, sötétszürke J+B</v>
      </c>
      <c r="C165" s="3">
        <v>502876</v>
      </c>
      <c r="D165" t="s">
        <v>1275</v>
      </c>
      <c r="E165" t="s">
        <v>1276</v>
      </c>
      <c r="F165" t="s">
        <v>1277</v>
      </c>
      <c r="G165" t="s">
        <v>1278</v>
      </c>
      <c r="H165" t="s">
        <v>1279</v>
      </c>
      <c r="K165">
        <v>121</v>
      </c>
      <c r="L165" t="str">
        <f>Překlady!$C$33</f>
        <v>szürke</v>
      </c>
      <c r="M165">
        <v>550</v>
      </c>
      <c r="N165" t="str">
        <f>Překlady!$C$82</f>
        <v>tömör oldalfal</v>
      </c>
      <c r="O165" t="str">
        <f t="shared" si="17"/>
        <v>121 mm_szürke_550_tömör oldalfal</v>
      </c>
      <c r="P165" s="3">
        <f t="shared" si="15"/>
        <v>502876</v>
      </c>
      <c r="Q165" t="str">
        <f t="shared" si="16"/>
        <v>StrongMax 18 oldalfalak 121/550 mm, sötétszürke J+B</v>
      </c>
    </row>
    <row r="166" spans="2:17" x14ac:dyDescent="0.25">
      <c r="B166" t="str">
        <f t="shared" si="14"/>
        <v>StrongMax 18 oldalfal 121/600 mm, sötétszürke J+B</v>
      </c>
      <c r="C166" s="3">
        <v>503117</v>
      </c>
      <c r="D166" t="s">
        <v>1280</v>
      </c>
      <c r="E166" t="s">
        <v>1281</v>
      </c>
      <c r="F166" t="s">
        <v>1282</v>
      </c>
      <c r="G166" t="s">
        <v>1283</v>
      </c>
      <c r="H166" t="s">
        <v>1284</v>
      </c>
      <c r="K166">
        <v>121</v>
      </c>
      <c r="L166" t="str">
        <f>Překlady!$C$33</f>
        <v>szürke</v>
      </c>
      <c r="M166">
        <v>600</v>
      </c>
      <c r="N166" t="str">
        <f>Překlady!$C$82</f>
        <v>tömör oldalfal</v>
      </c>
      <c r="O166" t="str">
        <f t="shared" si="17"/>
        <v>121 mm_szürke_600_tömör oldalfal</v>
      </c>
      <c r="P166" s="3">
        <f t="shared" si="15"/>
        <v>503117</v>
      </c>
      <c r="Q166" t="str">
        <f t="shared" si="16"/>
        <v>StrongMax 18 oldalfal 121/600 mm, sötétszürke J+B</v>
      </c>
    </row>
    <row r="167" spans="2:17" x14ac:dyDescent="0.25">
      <c r="B167" t="str">
        <f t="shared" si="14"/>
        <v>StrongMax 18 OLDALFALAK 121/650 mm, sötétszürke J+B</v>
      </c>
      <c r="C167" s="3">
        <v>503118</v>
      </c>
      <c r="D167" t="s">
        <v>1285</v>
      </c>
      <c r="E167" t="s">
        <v>1286</v>
      </c>
      <c r="F167" t="s">
        <v>1287</v>
      </c>
      <c r="G167" t="s">
        <v>1288</v>
      </c>
      <c r="H167" t="s">
        <v>1289</v>
      </c>
      <c r="K167">
        <v>121</v>
      </c>
      <c r="L167" t="str">
        <f>Překlady!$C$33</f>
        <v>szürke</v>
      </c>
      <c r="M167">
        <v>650</v>
      </c>
      <c r="N167" t="str">
        <f>Překlady!$C$82</f>
        <v>tömör oldalfal</v>
      </c>
      <c r="O167" t="str">
        <f t="shared" si="17"/>
        <v>121 mm_szürke_650_tömör oldalfal</v>
      </c>
      <c r="P167" s="3">
        <f t="shared" si="15"/>
        <v>503118</v>
      </c>
      <c r="Q167" t="str">
        <f t="shared" si="16"/>
        <v>StrongMax 18 OLDALFALAK 121/650 mm, sötétszürke J+B</v>
      </c>
    </row>
    <row r="168" spans="2:17" x14ac:dyDescent="0.25">
      <c r="B168" t="str">
        <f t="shared" si="14"/>
        <v>StrongMax 18 oldalfalak 185/300 mm, sötétszürke J+B</v>
      </c>
      <c r="C168" s="3">
        <v>502874</v>
      </c>
      <c r="D168" t="s">
        <v>1290</v>
      </c>
      <c r="E168" t="s">
        <v>1291</v>
      </c>
      <c r="F168" t="s">
        <v>1292</v>
      </c>
      <c r="G168" t="s">
        <v>1293</v>
      </c>
      <c r="H168" t="s">
        <v>1294</v>
      </c>
      <c r="K168">
        <v>185</v>
      </c>
      <c r="L168" t="str">
        <f>Překlady!$C$33</f>
        <v>szürke</v>
      </c>
      <c r="M168">
        <v>300</v>
      </c>
      <c r="N168" t="str">
        <f>Překlady!$C$82</f>
        <v>tömör oldalfal</v>
      </c>
      <c r="O168" t="str">
        <f t="shared" si="17"/>
        <v>185 mm_szürke_300_tömör oldalfal</v>
      </c>
      <c r="P168" s="3">
        <f t="shared" si="15"/>
        <v>502874</v>
      </c>
      <c r="Q168" t="str">
        <f t="shared" si="16"/>
        <v>StrongMax 18 oldalfalak 185/300 mm, sötétszürke J+B</v>
      </c>
    </row>
    <row r="169" spans="2:17" x14ac:dyDescent="0.25">
      <c r="B169" t="str">
        <f t="shared" si="14"/>
        <v>StrongMax 18 oldalfalak 185/350 mm, sötétszürke J+B</v>
      </c>
      <c r="C169" s="3">
        <v>502873</v>
      </c>
      <c r="D169" t="s">
        <v>1295</v>
      </c>
      <c r="E169" t="s">
        <v>1296</v>
      </c>
      <c r="F169" t="s">
        <v>1297</v>
      </c>
      <c r="G169" t="s">
        <v>1298</v>
      </c>
      <c r="H169" t="s">
        <v>1299</v>
      </c>
      <c r="K169">
        <v>185</v>
      </c>
      <c r="L169" t="str">
        <f>Překlady!$C$33</f>
        <v>szürke</v>
      </c>
      <c r="M169">
        <v>350</v>
      </c>
      <c r="N169" t="str">
        <f>Překlady!$C$82</f>
        <v>tömör oldalfal</v>
      </c>
      <c r="O169" t="str">
        <f t="shared" si="17"/>
        <v>185 mm_szürke_350_tömör oldalfal</v>
      </c>
      <c r="P169" s="3">
        <f t="shared" si="15"/>
        <v>502873</v>
      </c>
      <c r="Q169" t="str">
        <f t="shared" si="16"/>
        <v>StrongMax 18 oldalfalak 185/350 mm, sötétszürke J+B</v>
      </c>
    </row>
    <row r="170" spans="2:17" x14ac:dyDescent="0.25">
      <c r="B170" t="str">
        <f t="shared" si="14"/>
        <v>StrongMax 18 oldalfalak 185/400 mm, sötétszürke J+B</v>
      </c>
      <c r="C170" s="3">
        <v>502872</v>
      </c>
      <c r="D170" t="s">
        <v>1300</v>
      </c>
      <c r="E170" t="s">
        <v>1301</v>
      </c>
      <c r="F170" t="s">
        <v>1302</v>
      </c>
      <c r="G170" t="s">
        <v>1303</v>
      </c>
      <c r="H170" t="s">
        <v>1304</v>
      </c>
      <c r="K170">
        <v>185</v>
      </c>
      <c r="L170" t="str">
        <f>Překlady!$C$33</f>
        <v>szürke</v>
      </c>
      <c r="M170">
        <v>400</v>
      </c>
      <c r="N170" t="str">
        <f>Překlady!$C$82</f>
        <v>tömör oldalfal</v>
      </c>
      <c r="O170" t="str">
        <f t="shared" si="17"/>
        <v>185 mm_szürke_400_tömör oldalfal</v>
      </c>
      <c r="P170" s="3">
        <f t="shared" si="15"/>
        <v>502872</v>
      </c>
      <c r="Q170" t="str">
        <f t="shared" si="16"/>
        <v>StrongMax 18 oldalfalak 185/400 mm, sötétszürke J+B</v>
      </c>
    </row>
    <row r="171" spans="2:17" x14ac:dyDescent="0.25">
      <c r="B171" t="str">
        <f t="shared" si="14"/>
        <v>StrongMax 18 oldalfalak 185/450 mm, sötétszürke J+B</v>
      </c>
      <c r="C171" s="3">
        <v>502871</v>
      </c>
      <c r="D171" t="s">
        <v>1305</v>
      </c>
      <c r="E171" t="s">
        <v>1306</v>
      </c>
      <c r="F171" t="s">
        <v>1307</v>
      </c>
      <c r="G171" t="s">
        <v>1308</v>
      </c>
      <c r="H171" t="s">
        <v>1309</v>
      </c>
      <c r="K171">
        <v>185</v>
      </c>
      <c r="L171" t="str">
        <f>Překlady!$C$33</f>
        <v>szürke</v>
      </c>
      <c r="M171">
        <v>450</v>
      </c>
      <c r="N171" t="str">
        <f>Překlady!$C$82</f>
        <v>tömör oldalfal</v>
      </c>
      <c r="O171" t="str">
        <f t="shared" si="17"/>
        <v>185 mm_szürke_450_tömör oldalfal</v>
      </c>
      <c r="P171" s="3">
        <f t="shared" si="15"/>
        <v>502871</v>
      </c>
      <c r="Q171" t="str">
        <f t="shared" si="16"/>
        <v>StrongMax 18 oldalfalak 185/450 mm, sötétszürke J+B</v>
      </c>
    </row>
    <row r="172" spans="2:17" x14ac:dyDescent="0.25">
      <c r="B172" t="str">
        <f t="shared" si="14"/>
        <v>StrongMax 18 oldalfalak 185/500 mm, sötétszürke J+B</v>
      </c>
      <c r="C172" s="3" t="s">
        <v>1310</v>
      </c>
      <c r="D172" t="s">
        <v>1311</v>
      </c>
      <c r="E172" t="s">
        <v>1312</v>
      </c>
      <c r="F172" t="s">
        <v>1313</v>
      </c>
      <c r="G172" t="s">
        <v>1314</v>
      </c>
      <c r="H172" t="s">
        <v>1315</v>
      </c>
      <c r="K172">
        <v>185</v>
      </c>
      <c r="L172" t="str">
        <f>Překlady!$C$33</f>
        <v>szürke</v>
      </c>
      <c r="M172">
        <v>500</v>
      </c>
      <c r="N172" t="str">
        <f>Překlady!$C$82</f>
        <v>tömör oldalfal</v>
      </c>
      <c r="O172" t="str">
        <f t="shared" si="17"/>
        <v>185 mm_szürke_500_tömör oldalfal</v>
      </c>
      <c r="P172" s="3" t="str">
        <f t="shared" si="15"/>
        <v>502870</v>
      </c>
      <c r="Q172" t="str">
        <f t="shared" si="16"/>
        <v>StrongMax 18 oldalfalak 185/500 mm, sötétszürke J+B</v>
      </c>
    </row>
    <row r="173" spans="2:17" x14ac:dyDescent="0.25">
      <c r="B173" t="str">
        <f t="shared" si="14"/>
        <v>StrongMax 18 oldalfalak 185/550 mm, sötétszürke J+B</v>
      </c>
      <c r="C173" s="3">
        <v>502869</v>
      </c>
      <c r="D173" t="s">
        <v>1316</v>
      </c>
      <c r="E173" t="s">
        <v>1317</v>
      </c>
      <c r="F173" t="s">
        <v>1318</v>
      </c>
      <c r="G173" t="s">
        <v>1319</v>
      </c>
      <c r="H173" t="s">
        <v>1320</v>
      </c>
      <c r="K173">
        <v>185</v>
      </c>
      <c r="L173" t="str">
        <f>Překlady!$C$33</f>
        <v>szürke</v>
      </c>
      <c r="M173">
        <v>550</v>
      </c>
      <c r="N173" t="str">
        <f>Překlady!$C$82</f>
        <v>tömör oldalfal</v>
      </c>
      <c r="O173" t="str">
        <f t="shared" si="17"/>
        <v>185 mm_szürke_550_tömör oldalfal</v>
      </c>
      <c r="P173" s="3">
        <f t="shared" si="15"/>
        <v>502869</v>
      </c>
      <c r="Q173" t="str">
        <f t="shared" si="16"/>
        <v>StrongMax 18 oldalfalak 185/550 mm, sötétszürke J+B</v>
      </c>
    </row>
    <row r="174" spans="2:17" x14ac:dyDescent="0.25">
      <c r="B174" t="str">
        <f t="shared" si="14"/>
        <v>StrongMax 18 oldalfalak 185/600 mm, sötétszürke J+B</v>
      </c>
      <c r="C174" s="3">
        <v>503119</v>
      </c>
      <c r="D174" t="s">
        <v>1321</v>
      </c>
      <c r="E174" t="s">
        <v>1322</v>
      </c>
      <c r="F174" t="s">
        <v>1323</v>
      </c>
      <c r="G174" t="s">
        <v>1324</v>
      </c>
      <c r="H174" t="s">
        <v>1325</v>
      </c>
      <c r="K174">
        <v>185</v>
      </c>
      <c r="L174" t="str">
        <f>Překlady!$C$33</f>
        <v>szürke</v>
      </c>
      <c r="M174">
        <v>600</v>
      </c>
      <c r="N174" t="str">
        <f>Překlady!$C$82</f>
        <v>tömör oldalfal</v>
      </c>
      <c r="O174" t="str">
        <f t="shared" si="17"/>
        <v>185 mm_szürke_600_tömör oldalfal</v>
      </c>
      <c r="P174" s="3">
        <f t="shared" si="15"/>
        <v>503119</v>
      </c>
      <c r="Q174" t="str">
        <f t="shared" si="16"/>
        <v>StrongMax 18 oldalfalak 185/600 mm, sötétszürke J+B</v>
      </c>
    </row>
    <row r="175" spans="2:17" x14ac:dyDescent="0.25">
      <c r="B175" t="str">
        <f t="shared" si="14"/>
        <v>StrongMax 18 oldalfalak 185/650 mm, sötétszürke J+B</v>
      </c>
      <c r="C175" s="3">
        <v>503120</v>
      </c>
      <c r="D175" t="s">
        <v>1326</v>
      </c>
      <c r="E175" t="s">
        <v>1327</v>
      </c>
      <c r="F175" t="s">
        <v>1328</v>
      </c>
      <c r="G175" t="s">
        <v>1329</v>
      </c>
      <c r="H175" t="s">
        <v>1330</v>
      </c>
      <c r="K175">
        <v>185</v>
      </c>
      <c r="L175" t="str">
        <f>Překlady!$C$33</f>
        <v>szürke</v>
      </c>
      <c r="M175">
        <v>650</v>
      </c>
      <c r="N175" t="str">
        <f>Překlady!$C$82</f>
        <v>tömör oldalfal</v>
      </c>
      <c r="O175" t="str">
        <f t="shared" si="17"/>
        <v>185 mm_szürke_650_tömör oldalfal</v>
      </c>
      <c r="P175" s="3">
        <f t="shared" si="15"/>
        <v>503120</v>
      </c>
      <c r="Q175" t="str">
        <f t="shared" si="16"/>
        <v>StrongMax 18 oldalfalak 185/650 mm, sötétszürke J+B</v>
      </c>
    </row>
    <row r="176" spans="2:17" x14ac:dyDescent="0.25">
      <c r="B176" t="str">
        <f t="shared" ref="B176:B207" si="18">IF($D$1=1,D:D,IF($D$1=2,E:E,IF($D$1=3,F:F,IF($D$1=4,G:G,IF($D$1=5,H:H)))))</f>
        <v>StrongMax 18 oldalfalak 185/450 mm, üvegezett, sötétszürke J+B</v>
      </c>
      <c r="C176" s="3" t="s">
        <v>1331</v>
      </c>
      <c r="D176" t="s">
        <v>1332</v>
      </c>
      <c r="E176" t="s">
        <v>1333</v>
      </c>
      <c r="F176" t="s">
        <v>1334</v>
      </c>
      <c r="G176" t="s">
        <v>1335</v>
      </c>
      <c r="H176" t="s">
        <v>1336</v>
      </c>
      <c r="K176">
        <v>185</v>
      </c>
      <c r="L176" t="str">
        <f>Překlady!$C$33</f>
        <v>szürke</v>
      </c>
      <c r="M176">
        <v>450</v>
      </c>
      <c r="N176" t="str">
        <f>Překlady!$C$83</f>
        <v>üvegezett oldalfal</v>
      </c>
      <c r="O176" t="str">
        <f t="shared" si="17"/>
        <v>185 mm_szürke_450_üvegezett oldalfal</v>
      </c>
      <c r="P176" s="3" t="str">
        <f t="shared" si="15"/>
        <v>502933</v>
      </c>
      <c r="Q176" t="str">
        <f t="shared" si="16"/>
        <v>StrongMax 18 oldalfalak 185/450 mm, üvegezett, sötétszürke J+B</v>
      </c>
    </row>
    <row r="177" spans="2:17" x14ac:dyDescent="0.25">
      <c r="B177" t="str">
        <f t="shared" si="18"/>
        <v>StrongMax 18 oldalfalak 185/500 mm, mázas, sötétszürke J+B</v>
      </c>
      <c r="C177" s="3">
        <v>502934</v>
      </c>
      <c r="D177" t="s">
        <v>1337</v>
      </c>
      <c r="E177" t="s">
        <v>1338</v>
      </c>
      <c r="F177" t="s">
        <v>1339</v>
      </c>
      <c r="G177" t="s">
        <v>1340</v>
      </c>
      <c r="H177" t="s">
        <v>1341</v>
      </c>
      <c r="K177">
        <v>185</v>
      </c>
      <c r="L177" t="str">
        <f>Překlady!$C$33</f>
        <v>szürke</v>
      </c>
      <c r="M177">
        <v>500</v>
      </c>
      <c r="N177" t="str">
        <f>Překlady!$C$83</f>
        <v>üvegezett oldalfal</v>
      </c>
      <c r="O177" t="str">
        <f t="shared" si="17"/>
        <v>185 mm_szürke_500_üvegezett oldalfal</v>
      </c>
      <c r="P177" s="3">
        <f t="shared" si="15"/>
        <v>502934</v>
      </c>
      <c r="Q177" t="str">
        <f t="shared" si="16"/>
        <v>StrongMax 18 oldalfalak 185/500 mm, mázas, sötétszürke J+B</v>
      </c>
    </row>
    <row r="178" spans="2:17" x14ac:dyDescent="0.25">
      <c r="B178" t="str">
        <f t="shared" si="18"/>
        <v>StrongMax 18 oldalfalak 185/550 mm, mázas, sötétszürke J+B</v>
      </c>
      <c r="C178" s="3">
        <v>502929</v>
      </c>
      <c r="D178" t="s">
        <v>1342</v>
      </c>
      <c r="E178" t="s">
        <v>1343</v>
      </c>
      <c r="F178" t="s">
        <v>1344</v>
      </c>
      <c r="G178" t="s">
        <v>1345</v>
      </c>
      <c r="H178" t="s">
        <v>1346</v>
      </c>
      <c r="K178">
        <v>185</v>
      </c>
      <c r="L178" t="str">
        <f>Překlady!$C$33</f>
        <v>szürke</v>
      </c>
      <c r="M178">
        <v>550</v>
      </c>
      <c r="N178" t="str">
        <f>Překlady!$C$83</f>
        <v>üvegezett oldalfal</v>
      </c>
      <c r="O178" t="str">
        <f t="shared" si="17"/>
        <v>185 mm_szürke_550_üvegezett oldalfal</v>
      </c>
      <c r="P178" s="3">
        <f t="shared" si="15"/>
        <v>502929</v>
      </c>
      <c r="Q178" t="str">
        <f t="shared" si="16"/>
        <v>StrongMax 18 oldalfalak 185/550 mm, mázas, sötétszürke J+B</v>
      </c>
    </row>
    <row r="179" spans="2:17" x14ac:dyDescent="0.25">
      <c r="B179" t="str">
        <f t="shared" si="18"/>
        <v>StrongMax 18 oldalfalak 249/450 mm, sötétszürke J+B</v>
      </c>
      <c r="C179" s="3">
        <v>502909</v>
      </c>
      <c r="D179" t="s">
        <v>1347</v>
      </c>
      <c r="E179" t="s">
        <v>1348</v>
      </c>
      <c r="F179" t="s">
        <v>1349</v>
      </c>
      <c r="G179" t="s">
        <v>1350</v>
      </c>
      <c r="H179" t="s">
        <v>1351</v>
      </c>
      <c r="K179">
        <v>249</v>
      </c>
      <c r="L179" t="str">
        <f>Překlady!$C$33</f>
        <v>szürke</v>
      </c>
      <c r="M179">
        <v>450</v>
      </c>
      <c r="N179" t="str">
        <f>Překlady!$C$82</f>
        <v>tömör oldalfal</v>
      </c>
      <c r="O179" t="str">
        <f t="shared" si="17"/>
        <v>249 mm_szürke_450_tömör oldalfal</v>
      </c>
      <c r="P179" s="3">
        <f t="shared" si="15"/>
        <v>502909</v>
      </c>
      <c r="Q179" t="str">
        <f t="shared" si="16"/>
        <v>StrongMax 18 oldalfalak 249/450 mm, sötétszürke J+B</v>
      </c>
    </row>
    <row r="180" spans="2:17" x14ac:dyDescent="0.25">
      <c r="B180" t="str">
        <f t="shared" si="18"/>
        <v>StrongMax 18 oldalfalak 249/500 mm, sötétszürke J+B</v>
      </c>
      <c r="C180" s="3">
        <v>502910</v>
      </c>
      <c r="D180" t="s">
        <v>1352</v>
      </c>
      <c r="E180" t="s">
        <v>1353</v>
      </c>
      <c r="F180" t="s">
        <v>1354</v>
      </c>
      <c r="G180" t="s">
        <v>1355</v>
      </c>
      <c r="H180" t="s">
        <v>1356</v>
      </c>
      <c r="K180">
        <v>249</v>
      </c>
      <c r="L180" t="str">
        <f>Překlady!$C$33</f>
        <v>szürke</v>
      </c>
      <c r="M180">
        <v>500</v>
      </c>
      <c r="N180" t="str">
        <f>Překlady!$C$82</f>
        <v>tömör oldalfal</v>
      </c>
      <c r="O180" t="str">
        <f t="shared" si="17"/>
        <v>249 mm_szürke_500_tömör oldalfal</v>
      </c>
      <c r="P180" s="3">
        <f t="shared" si="15"/>
        <v>502910</v>
      </c>
      <c r="Q180" t="str">
        <f t="shared" si="16"/>
        <v>StrongMax 18 oldalfalak 249/500 mm, sötétszürke J+B</v>
      </c>
    </row>
    <row r="181" spans="2:17" x14ac:dyDescent="0.25">
      <c r="B181" t="str">
        <f t="shared" si="18"/>
        <v>StrongMax 18 oldalfalak 249/550 mm, sötétszürke J+B</v>
      </c>
      <c r="C181" s="3">
        <v>502911</v>
      </c>
      <c r="D181" t="s">
        <v>1357</v>
      </c>
      <c r="E181" t="s">
        <v>1358</v>
      </c>
      <c r="F181" t="s">
        <v>1359</v>
      </c>
      <c r="G181" t="s">
        <v>1360</v>
      </c>
      <c r="H181" t="s">
        <v>1361</v>
      </c>
      <c r="K181">
        <v>249</v>
      </c>
      <c r="L181" t="str">
        <f>Překlady!$C$33</f>
        <v>szürke</v>
      </c>
      <c r="M181">
        <v>550</v>
      </c>
      <c r="N181" t="str">
        <f>Překlady!$C$82</f>
        <v>tömör oldalfal</v>
      </c>
      <c r="O181" t="str">
        <f t="shared" si="17"/>
        <v>249 mm_szürke_550_tömör oldalfal</v>
      </c>
      <c r="P181" s="3">
        <f t="shared" si="15"/>
        <v>502911</v>
      </c>
      <c r="Q181" t="str">
        <f t="shared" si="16"/>
        <v>StrongMax 18 oldalfalak 249/550 mm, sötétszürke J+B</v>
      </c>
    </row>
    <row r="182" spans="2:17" x14ac:dyDescent="0.25">
      <c r="B182" t="str">
        <f t="shared" si="18"/>
        <v>StrongMax 18 oldalfalak 249/600 mm, sötétszürke J+B</v>
      </c>
      <c r="C182" s="3">
        <v>502912</v>
      </c>
      <c r="D182" t="s">
        <v>1362</v>
      </c>
      <c r="E182" t="s">
        <v>1363</v>
      </c>
      <c r="F182" t="s">
        <v>1364</v>
      </c>
      <c r="G182" t="s">
        <v>1365</v>
      </c>
      <c r="H182" t="s">
        <v>1366</v>
      </c>
      <c r="K182">
        <v>249</v>
      </c>
      <c r="L182" t="str">
        <f>Překlady!$C$33</f>
        <v>szürke</v>
      </c>
      <c r="M182">
        <v>600</v>
      </c>
      <c r="N182" t="str">
        <f>Překlady!$C$82</f>
        <v>tömör oldalfal</v>
      </c>
      <c r="O182" t="str">
        <f t="shared" si="17"/>
        <v>249 mm_szürke_600_tömör oldalfal</v>
      </c>
      <c r="P182" s="3">
        <f t="shared" si="15"/>
        <v>502912</v>
      </c>
      <c r="Q182" t="str">
        <f t="shared" si="16"/>
        <v>StrongMax 18 oldalfalak 249/600 mm, sötétszürke J+B</v>
      </c>
    </row>
    <row r="183" spans="2:17" x14ac:dyDescent="0.25">
      <c r="B183" t="str">
        <f t="shared" si="18"/>
        <v>StrongMax 18 oldalfalak 249/650 mm, sötétszürke J+B</v>
      </c>
      <c r="C183" s="3">
        <v>502913</v>
      </c>
      <c r="D183" t="s">
        <v>1367</v>
      </c>
      <c r="E183" t="s">
        <v>1368</v>
      </c>
      <c r="F183" t="s">
        <v>1369</v>
      </c>
      <c r="G183" t="s">
        <v>1370</v>
      </c>
      <c r="H183" t="s">
        <v>1371</v>
      </c>
      <c r="K183">
        <v>249</v>
      </c>
      <c r="L183" t="str">
        <f>Překlady!$C$33</f>
        <v>szürke</v>
      </c>
      <c r="M183">
        <v>650</v>
      </c>
      <c r="N183" t="str">
        <f>Překlady!$C$82</f>
        <v>tömör oldalfal</v>
      </c>
      <c r="O183" t="str">
        <f t="shared" si="17"/>
        <v>249 mm_szürke_650_tömör oldalfal</v>
      </c>
      <c r="P183" s="3">
        <f t="shared" si="15"/>
        <v>502913</v>
      </c>
      <c r="Q183" t="str">
        <f t="shared" si="16"/>
        <v>StrongMax 18 oldalfalak 249/650 mm, sötétszürke J+B</v>
      </c>
    </row>
    <row r="184" spans="2:17" x14ac:dyDescent="0.25">
      <c r="B184" t="str">
        <f t="shared" si="18"/>
        <v>StrongMax 18 oldalfalak 89/300 mm, fehér J+B</v>
      </c>
      <c r="C184" s="3" t="s">
        <v>1372</v>
      </c>
      <c r="D184" t="s">
        <v>1373</v>
      </c>
      <c r="E184" t="s">
        <v>1374</v>
      </c>
      <c r="F184" t="s">
        <v>1375</v>
      </c>
      <c r="G184" t="s">
        <v>1376</v>
      </c>
      <c r="H184" t="s">
        <v>1377</v>
      </c>
      <c r="K184">
        <v>89</v>
      </c>
      <c r="L184" t="str">
        <f>Překlady!$C$31</f>
        <v>fehér</v>
      </c>
      <c r="M184">
        <v>300</v>
      </c>
      <c r="N184" t="str">
        <f>Překlady!$C$82</f>
        <v>tömör oldalfal</v>
      </c>
      <c r="O184" t="str">
        <f t="shared" si="17"/>
        <v>89 mm_fehér_300_tömör oldalfal</v>
      </c>
      <c r="P184" s="3" t="str">
        <f t="shared" si="15"/>
        <v>502846</v>
      </c>
      <c r="Q184" t="str">
        <f t="shared" si="16"/>
        <v>StrongMax 18 oldalfalak 89/300 mm, fehér J+B</v>
      </c>
    </row>
    <row r="185" spans="2:17" x14ac:dyDescent="0.25">
      <c r="B185" t="str">
        <f t="shared" si="18"/>
        <v>StrongMax 18 oldalfalak 121/300 mm, fehér J+B</v>
      </c>
      <c r="C185" s="3" t="s">
        <v>1378</v>
      </c>
      <c r="D185" t="s">
        <v>1379</v>
      </c>
      <c r="E185" t="s">
        <v>1380</v>
      </c>
      <c r="F185" t="s">
        <v>1381</v>
      </c>
      <c r="G185" t="s">
        <v>1382</v>
      </c>
      <c r="H185" t="s">
        <v>1383</v>
      </c>
      <c r="K185">
        <v>121</v>
      </c>
      <c r="L185" t="str">
        <f>Překlady!$C$31</f>
        <v>fehér</v>
      </c>
      <c r="M185">
        <v>300</v>
      </c>
      <c r="N185" t="str">
        <f>Překlady!$C$82</f>
        <v>tömör oldalfal</v>
      </c>
      <c r="O185" t="str">
        <f t="shared" si="17"/>
        <v>121 mm_fehér_300_tömör oldalfal</v>
      </c>
      <c r="P185" s="3" t="str">
        <f t="shared" si="15"/>
        <v>502860</v>
      </c>
      <c r="Q185" t="str">
        <f t="shared" si="16"/>
        <v>StrongMax 18 oldalfalak 121/300 mm, fehér J+B</v>
      </c>
    </row>
    <row r="186" spans="2:17" x14ac:dyDescent="0.25">
      <c r="B186" t="str">
        <f t="shared" si="18"/>
        <v>StrongMax 18 oldalfalak 89/350 mm, fehér J+B</v>
      </c>
      <c r="C186" s="3" t="s">
        <v>1384</v>
      </c>
      <c r="D186" t="s">
        <v>1385</v>
      </c>
      <c r="E186" t="s">
        <v>1386</v>
      </c>
      <c r="F186" t="s">
        <v>1387</v>
      </c>
      <c r="G186" t="s">
        <v>1388</v>
      </c>
      <c r="H186" t="s">
        <v>1389</v>
      </c>
      <c r="K186">
        <v>89</v>
      </c>
      <c r="L186" t="str">
        <f>Překlady!$C$31</f>
        <v>fehér</v>
      </c>
      <c r="M186">
        <v>350</v>
      </c>
      <c r="N186" t="str">
        <f>Překlady!$C$82</f>
        <v>tömör oldalfal</v>
      </c>
      <c r="O186" t="str">
        <f t="shared" si="17"/>
        <v>89 mm_fehér_350_tömör oldalfal</v>
      </c>
      <c r="P186" s="3" t="str">
        <f t="shared" si="15"/>
        <v>502845</v>
      </c>
      <c r="Q186" t="str">
        <f t="shared" si="16"/>
        <v>StrongMax 18 oldalfalak 89/350 mm, fehér J+B</v>
      </c>
    </row>
    <row r="187" spans="2:17" x14ac:dyDescent="0.25">
      <c r="B187" t="str">
        <f t="shared" si="18"/>
        <v>StrongMax 18 oldalfalak 89/400 mm, fehér J+B</v>
      </c>
      <c r="C187" s="3" t="s">
        <v>1390</v>
      </c>
      <c r="D187" t="s">
        <v>1391</v>
      </c>
      <c r="E187" t="s">
        <v>1392</v>
      </c>
      <c r="F187" t="s">
        <v>1393</v>
      </c>
      <c r="G187" t="s">
        <v>1394</v>
      </c>
      <c r="H187" t="s">
        <v>1395</v>
      </c>
      <c r="K187">
        <v>89</v>
      </c>
      <c r="L187" t="str">
        <f>Překlady!$C$31</f>
        <v>fehér</v>
      </c>
      <c r="M187">
        <v>400</v>
      </c>
      <c r="N187" t="str">
        <f>Překlady!$C$82</f>
        <v>tömör oldalfal</v>
      </c>
      <c r="O187" t="str">
        <f t="shared" si="17"/>
        <v>89 mm_fehér_400_tömör oldalfal</v>
      </c>
      <c r="P187" s="3" t="str">
        <f t="shared" si="15"/>
        <v>502844</v>
      </c>
      <c r="Q187" t="str">
        <f t="shared" si="16"/>
        <v>StrongMax 18 oldalfalak 89/400 mm, fehér J+B</v>
      </c>
    </row>
    <row r="188" spans="2:17" x14ac:dyDescent="0.25">
      <c r="B188" t="str">
        <f t="shared" si="18"/>
        <v>StrongMax 18 oldalfalak 89/450 mm, fehér J+B</v>
      </c>
      <c r="C188" s="3" t="s">
        <v>1396</v>
      </c>
      <c r="D188" t="s">
        <v>1397</v>
      </c>
      <c r="E188" t="s">
        <v>1398</v>
      </c>
      <c r="F188" t="s">
        <v>1399</v>
      </c>
      <c r="G188" t="s">
        <v>1400</v>
      </c>
      <c r="H188" t="s">
        <v>1401</v>
      </c>
      <c r="K188">
        <v>89</v>
      </c>
      <c r="L188" t="str">
        <f>Překlady!$C$31</f>
        <v>fehér</v>
      </c>
      <c r="M188">
        <v>450</v>
      </c>
      <c r="N188" t="str">
        <f>Překlady!$C$82</f>
        <v>tömör oldalfal</v>
      </c>
      <c r="O188" t="str">
        <f t="shared" si="17"/>
        <v>89 mm_fehér_450_tömör oldalfal</v>
      </c>
      <c r="P188" s="3" t="str">
        <f t="shared" si="15"/>
        <v>502843</v>
      </c>
      <c r="Q188" t="str">
        <f t="shared" si="16"/>
        <v>StrongMax 18 oldalfalak 89/450 mm, fehér J+B</v>
      </c>
    </row>
    <row r="189" spans="2:17" x14ac:dyDescent="0.25">
      <c r="B189" t="str">
        <f t="shared" si="18"/>
        <v>StrongMax 18 oldalfalak 89/500 mm, fehér J+B</v>
      </c>
      <c r="C189" s="3" t="s">
        <v>1402</v>
      </c>
      <c r="D189" t="s">
        <v>1403</v>
      </c>
      <c r="E189" t="s">
        <v>1404</v>
      </c>
      <c r="F189" t="s">
        <v>1405</v>
      </c>
      <c r="G189" t="s">
        <v>1406</v>
      </c>
      <c r="H189" t="s">
        <v>1407</v>
      </c>
      <c r="K189">
        <v>89</v>
      </c>
      <c r="L189" t="str">
        <f>Překlady!$C$31</f>
        <v>fehér</v>
      </c>
      <c r="M189">
        <v>500</v>
      </c>
      <c r="N189" t="str">
        <f>Překlady!$C$82</f>
        <v>tömör oldalfal</v>
      </c>
      <c r="O189" t="str">
        <f t="shared" si="17"/>
        <v>89 mm_fehér_500_tömör oldalfal</v>
      </c>
      <c r="P189" s="3" t="str">
        <f t="shared" si="15"/>
        <v>502842</v>
      </c>
      <c r="Q189" t="str">
        <f t="shared" si="16"/>
        <v>StrongMax 18 oldalfalak 89/500 mm, fehér J+B</v>
      </c>
    </row>
    <row r="190" spans="2:17" x14ac:dyDescent="0.25">
      <c r="B190" t="str">
        <f t="shared" si="18"/>
        <v>StrongMax 18 oldalfalak 89/550 mm, fehér J+B</v>
      </c>
      <c r="C190" s="3" t="s">
        <v>1408</v>
      </c>
      <c r="D190" t="s">
        <v>1409</v>
      </c>
      <c r="E190" t="s">
        <v>1410</v>
      </c>
      <c r="F190" t="s">
        <v>1411</v>
      </c>
      <c r="G190" t="s">
        <v>1412</v>
      </c>
      <c r="H190" t="s">
        <v>1413</v>
      </c>
      <c r="K190">
        <v>89</v>
      </c>
      <c r="L190" t="str">
        <f>Překlady!$C$31</f>
        <v>fehér</v>
      </c>
      <c r="M190">
        <v>550</v>
      </c>
      <c r="N190" t="str">
        <f>Překlady!$C$82</f>
        <v>tömör oldalfal</v>
      </c>
      <c r="O190" t="str">
        <f t="shared" si="17"/>
        <v>89 mm_fehér_550_tömör oldalfal</v>
      </c>
      <c r="P190" s="3" t="str">
        <f t="shared" si="15"/>
        <v>502841</v>
      </c>
      <c r="Q190" t="str">
        <f t="shared" si="16"/>
        <v>StrongMax 18 oldalfalak 89/550 mm, fehér J+B</v>
      </c>
    </row>
    <row r="191" spans="2:17" x14ac:dyDescent="0.25">
      <c r="B191" t="str">
        <f t="shared" si="18"/>
        <v>StrongMax 18 oldalfalak 89/600 mm, fehér J+B</v>
      </c>
      <c r="C191" s="3" t="s">
        <v>1414</v>
      </c>
      <c r="D191" t="s">
        <v>1415</v>
      </c>
      <c r="E191" t="s">
        <v>1416</v>
      </c>
      <c r="F191" t="s">
        <v>1417</v>
      </c>
      <c r="G191" t="s">
        <v>1418</v>
      </c>
      <c r="H191" t="s">
        <v>1419</v>
      </c>
      <c r="K191">
        <v>89</v>
      </c>
      <c r="L191" t="str">
        <f>Překlady!$C$31</f>
        <v>fehér</v>
      </c>
      <c r="M191">
        <v>600</v>
      </c>
      <c r="N191" t="str">
        <f>Překlady!$C$82</f>
        <v>tömör oldalfal</v>
      </c>
      <c r="O191" t="str">
        <f t="shared" si="17"/>
        <v>89 mm_fehér_600_tömör oldalfal</v>
      </c>
      <c r="P191" s="3" t="str">
        <f t="shared" si="15"/>
        <v>503109</v>
      </c>
      <c r="Q191" t="str">
        <f t="shared" si="16"/>
        <v>StrongMax 18 oldalfalak 89/600 mm, fehér J+B</v>
      </c>
    </row>
    <row r="192" spans="2:17" x14ac:dyDescent="0.25">
      <c r="B192" t="str">
        <f t="shared" si="18"/>
        <v>StrongMax 18 oldalfalak 89/650 mm, fehér J+B</v>
      </c>
      <c r="C192" s="3" t="s">
        <v>1420</v>
      </c>
      <c r="D192" t="s">
        <v>1421</v>
      </c>
      <c r="E192" t="s">
        <v>1422</v>
      </c>
      <c r="F192" t="s">
        <v>1423</v>
      </c>
      <c r="G192" t="s">
        <v>1424</v>
      </c>
      <c r="H192" t="s">
        <v>1425</v>
      </c>
      <c r="K192">
        <v>89</v>
      </c>
      <c r="L192" t="str">
        <f>Překlady!$C$31</f>
        <v>fehér</v>
      </c>
      <c r="M192">
        <v>650</v>
      </c>
      <c r="N192" t="str">
        <f>Překlady!$C$82</f>
        <v>tömör oldalfal</v>
      </c>
      <c r="O192" t="str">
        <f t="shared" si="17"/>
        <v>89 mm_fehér_650_tömör oldalfal</v>
      </c>
      <c r="P192" s="3" t="str">
        <f t="shared" si="15"/>
        <v>503110</v>
      </c>
      <c r="Q192" t="str">
        <f t="shared" si="16"/>
        <v>StrongMax 18 oldalfalak 89/650 mm, fehér J+B</v>
      </c>
    </row>
    <row r="193" spans="2:17" x14ac:dyDescent="0.25">
      <c r="B193" t="str">
        <f t="shared" si="18"/>
        <v>StrongMax 18 oldalfalak 185/300 mm, fehér J+B</v>
      </c>
      <c r="C193" s="3" t="s">
        <v>1426</v>
      </c>
      <c r="D193" t="s">
        <v>1427</v>
      </c>
      <c r="E193" t="s">
        <v>1428</v>
      </c>
      <c r="F193" t="s">
        <v>1429</v>
      </c>
      <c r="G193" t="s">
        <v>1430</v>
      </c>
      <c r="H193" t="s">
        <v>1431</v>
      </c>
      <c r="K193">
        <v>185</v>
      </c>
      <c r="L193" t="str">
        <f>Překlady!$C$31</f>
        <v>fehér</v>
      </c>
      <c r="M193">
        <v>300</v>
      </c>
      <c r="N193" t="str">
        <f>Překlady!$C$82</f>
        <v>tömör oldalfal</v>
      </c>
      <c r="O193" t="str">
        <f t="shared" si="17"/>
        <v>185 mm_fehér_300_tömör oldalfal</v>
      </c>
      <c r="P193" s="3" t="str">
        <f t="shared" si="15"/>
        <v>502853</v>
      </c>
      <c r="Q193" t="str">
        <f t="shared" si="16"/>
        <v>StrongMax 18 oldalfalak 185/300 mm, fehér J+B</v>
      </c>
    </row>
    <row r="194" spans="2:17" x14ac:dyDescent="0.25">
      <c r="B194" t="str">
        <f t="shared" si="18"/>
        <v>StrongMax 18 oldalfalak 121/350 mm, fehér J+B</v>
      </c>
      <c r="C194" s="3" t="s">
        <v>1432</v>
      </c>
      <c r="D194" t="s">
        <v>1433</v>
      </c>
      <c r="E194" t="s">
        <v>1434</v>
      </c>
      <c r="F194" t="s">
        <v>1435</v>
      </c>
      <c r="G194" t="s">
        <v>1436</v>
      </c>
      <c r="H194" t="s">
        <v>1437</v>
      </c>
      <c r="K194">
        <v>121</v>
      </c>
      <c r="L194" t="str">
        <f>Překlady!$C$31</f>
        <v>fehér</v>
      </c>
      <c r="M194">
        <v>350</v>
      </c>
      <c r="N194" t="str">
        <f>Překlady!$C$82</f>
        <v>tömör oldalfal</v>
      </c>
      <c r="O194" t="str">
        <f t="shared" si="17"/>
        <v>121 mm_fehér_350_tömör oldalfal</v>
      </c>
      <c r="P194" s="3" t="str">
        <f t="shared" si="15"/>
        <v>502859</v>
      </c>
      <c r="Q194" t="str">
        <f t="shared" si="16"/>
        <v>StrongMax 18 oldalfalak 121/350 mm, fehér J+B</v>
      </c>
    </row>
    <row r="195" spans="2:17" x14ac:dyDescent="0.25">
      <c r="B195" t="str">
        <f t="shared" si="18"/>
        <v>StrongMax 18 oldalfalak 121/400 mm, fehér J+B</v>
      </c>
      <c r="C195" s="3" t="s">
        <v>1438</v>
      </c>
      <c r="D195" t="s">
        <v>1439</v>
      </c>
      <c r="E195" t="s">
        <v>1440</v>
      </c>
      <c r="F195" t="s">
        <v>1441</v>
      </c>
      <c r="G195" t="s">
        <v>1442</v>
      </c>
      <c r="H195" t="s">
        <v>1443</v>
      </c>
      <c r="K195">
        <v>121</v>
      </c>
      <c r="L195" t="str">
        <f>Překlady!$C$31</f>
        <v>fehér</v>
      </c>
      <c r="M195">
        <v>400</v>
      </c>
      <c r="N195" t="str">
        <f>Překlady!$C$82</f>
        <v>tömör oldalfal</v>
      </c>
      <c r="O195" t="str">
        <f t="shared" si="17"/>
        <v>121 mm_fehér_400_tömör oldalfal</v>
      </c>
      <c r="P195" s="3" t="str">
        <f t="shared" si="15"/>
        <v>502858</v>
      </c>
      <c r="Q195" t="str">
        <f t="shared" si="16"/>
        <v>StrongMax 18 oldalfalak 121/400 mm, fehér J+B</v>
      </c>
    </row>
    <row r="196" spans="2:17" x14ac:dyDescent="0.25">
      <c r="B196" t="str">
        <f t="shared" si="18"/>
        <v>StrongMax 18 oldalfalak 121/450 mm, fehér J+B</v>
      </c>
      <c r="C196" s="3" t="s">
        <v>1444</v>
      </c>
      <c r="D196" t="s">
        <v>1445</v>
      </c>
      <c r="E196" t="s">
        <v>1446</v>
      </c>
      <c r="F196" t="s">
        <v>1447</v>
      </c>
      <c r="G196" t="s">
        <v>1448</v>
      </c>
      <c r="H196" t="s">
        <v>1449</v>
      </c>
      <c r="K196">
        <v>121</v>
      </c>
      <c r="L196" t="str">
        <f>Překlady!$C$31</f>
        <v>fehér</v>
      </c>
      <c r="M196">
        <v>450</v>
      </c>
      <c r="N196" t="str">
        <f>Překlady!$C$82</f>
        <v>tömör oldalfal</v>
      </c>
      <c r="O196" t="str">
        <f t="shared" si="17"/>
        <v>121 mm_fehér_450_tömör oldalfal</v>
      </c>
      <c r="P196" s="3" t="str">
        <f t="shared" si="15"/>
        <v>502857</v>
      </c>
      <c r="Q196" t="str">
        <f t="shared" si="16"/>
        <v>StrongMax 18 oldalfalak 121/450 mm, fehér J+B</v>
      </c>
    </row>
    <row r="197" spans="2:17" x14ac:dyDescent="0.25">
      <c r="B197" t="str">
        <f t="shared" si="18"/>
        <v>StrongMax 18 oldalfalak 121/500 mm, fehér J+B</v>
      </c>
      <c r="C197" s="3" t="s">
        <v>1450</v>
      </c>
      <c r="D197" t="s">
        <v>1451</v>
      </c>
      <c r="E197" t="s">
        <v>1452</v>
      </c>
      <c r="F197" t="s">
        <v>1453</v>
      </c>
      <c r="G197" t="s">
        <v>1454</v>
      </c>
      <c r="H197" t="s">
        <v>1455</v>
      </c>
      <c r="K197">
        <v>121</v>
      </c>
      <c r="L197" t="str">
        <f>Překlady!$C$31</f>
        <v>fehér</v>
      </c>
      <c r="M197">
        <v>500</v>
      </c>
      <c r="N197" t="str">
        <f>Překlady!$C$82</f>
        <v>tömör oldalfal</v>
      </c>
      <c r="O197" t="str">
        <f t="shared" si="17"/>
        <v>121 mm_fehér_500_tömör oldalfal</v>
      </c>
      <c r="P197" s="3" t="str">
        <f t="shared" si="15"/>
        <v>502856</v>
      </c>
      <c r="Q197" t="str">
        <f t="shared" si="16"/>
        <v>StrongMax 18 oldalfalak 121/500 mm, fehér J+B</v>
      </c>
    </row>
    <row r="198" spans="2:17" x14ac:dyDescent="0.25">
      <c r="B198" t="str">
        <f t="shared" si="18"/>
        <v>StrongMax 18 oldalfalak 121/550 mm, fehér J+B</v>
      </c>
      <c r="C198" s="3" t="s">
        <v>1456</v>
      </c>
      <c r="D198" t="s">
        <v>1457</v>
      </c>
      <c r="E198" t="s">
        <v>1458</v>
      </c>
      <c r="F198" t="s">
        <v>1459</v>
      </c>
      <c r="G198" t="s">
        <v>1460</v>
      </c>
      <c r="H198" t="s">
        <v>1461</v>
      </c>
      <c r="K198">
        <v>121</v>
      </c>
      <c r="L198" t="str">
        <f>Překlady!$C$31</f>
        <v>fehér</v>
      </c>
      <c r="M198">
        <v>550</v>
      </c>
      <c r="N198" t="str">
        <f>Překlady!$C$82</f>
        <v>tömör oldalfal</v>
      </c>
      <c r="O198" t="str">
        <f t="shared" si="17"/>
        <v>121 mm_fehér_550_tömör oldalfal</v>
      </c>
      <c r="P198" s="3" t="str">
        <f t="shared" si="15"/>
        <v>502855</v>
      </c>
      <c r="Q198" t="str">
        <f t="shared" si="16"/>
        <v>StrongMax 18 oldalfalak 121/550 mm, fehér J+B</v>
      </c>
    </row>
    <row r="199" spans="2:17" x14ac:dyDescent="0.25">
      <c r="B199" t="str">
        <f t="shared" si="18"/>
        <v>StrongMax 18 oldalfal 121/600 mm, fehér J+B fehér J+B</v>
      </c>
      <c r="C199" s="3" t="s">
        <v>1462</v>
      </c>
      <c r="D199" t="s">
        <v>1463</v>
      </c>
      <c r="E199" t="s">
        <v>1464</v>
      </c>
      <c r="F199" t="s">
        <v>1465</v>
      </c>
      <c r="G199" t="s">
        <v>1466</v>
      </c>
      <c r="H199" t="s">
        <v>1467</v>
      </c>
      <c r="K199">
        <v>121</v>
      </c>
      <c r="L199" t="str">
        <f>Překlady!$C$31</f>
        <v>fehér</v>
      </c>
      <c r="M199">
        <v>600</v>
      </c>
      <c r="N199" t="str">
        <f>Překlady!$C$82</f>
        <v>tömör oldalfal</v>
      </c>
      <c r="O199" t="str">
        <f t="shared" si="17"/>
        <v>121 mm_fehér_600_tömör oldalfal</v>
      </c>
      <c r="P199" s="3" t="str">
        <f t="shared" si="15"/>
        <v>503111</v>
      </c>
      <c r="Q199" t="str">
        <f t="shared" si="16"/>
        <v>StrongMax 18 oldalfal 121/600 mm, fehér J+B fehér J+B</v>
      </c>
    </row>
    <row r="200" spans="2:17" x14ac:dyDescent="0.25">
      <c r="B200" t="str">
        <f t="shared" si="18"/>
        <v>StrongMax 18 oldalfal 121/650 mm, fehér J+B</v>
      </c>
      <c r="C200" s="3" t="s">
        <v>1468</v>
      </c>
      <c r="D200" t="s">
        <v>1469</v>
      </c>
      <c r="E200" t="s">
        <v>1470</v>
      </c>
      <c r="F200" t="s">
        <v>1471</v>
      </c>
      <c r="G200" t="s">
        <v>1472</v>
      </c>
      <c r="H200" t="s">
        <v>1473</v>
      </c>
      <c r="K200">
        <v>121</v>
      </c>
      <c r="L200" t="str">
        <f>Překlady!$C$31</f>
        <v>fehér</v>
      </c>
      <c r="M200">
        <v>650</v>
      </c>
      <c r="N200" t="str">
        <f>Překlady!$C$82</f>
        <v>tömör oldalfal</v>
      </c>
      <c r="O200" t="str">
        <f t="shared" si="17"/>
        <v>121 mm_fehér_650_tömör oldalfal</v>
      </c>
      <c r="P200" s="3" t="str">
        <f t="shared" si="15"/>
        <v>503112</v>
      </c>
      <c r="Q200" t="str">
        <f t="shared" si="16"/>
        <v>StrongMax 18 oldalfal 121/650 mm, fehér J+B</v>
      </c>
    </row>
    <row r="201" spans="2:17" x14ac:dyDescent="0.25">
      <c r="B201" t="str">
        <f t="shared" si="18"/>
        <v>StrongMax 18 oldalfalak 185/350 mm, fehér J+B</v>
      </c>
      <c r="C201" s="3" t="s">
        <v>1474</v>
      </c>
      <c r="D201" t="s">
        <v>1475</v>
      </c>
      <c r="E201" t="s">
        <v>1476</v>
      </c>
      <c r="F201" t="s">
        <v>1477</v>
      </c>
      <c r="G201" t="s">
        <v>1478</v>
      </c>
      <c r="H201" t="s">
        <v>1479</v>
      </c>
      <c r="K201">
        <v>185</v>
      </c>
      <c r="L201" t="str">
        <f>Překlady!$C$31</f>
        <v>fehér</v>
      </c>
      <c r="M201">
        <v>350</v>
      </c>
      <c r="N201" t="str">
        <f>Překlady!$C$82</f>
        <v>tömör oldalfal</v>
      </c>
      <c r="O201" t="str">
        <f t="shared" si="17"/>
        <v>185 mm_fehér_350_tömör oldalfal</v>
      </c>
      <c r="P201" s="3" t="str">
        <f t="shared" si="15"/>
        <v>502852</v>
      </c>
      <c r="Q201" t="str">
        <f t="shared" si="16"/>
        <v>StrongMax 18 oldalfalak 185/350 mm, fehér J+B</v>
      </c>
    </row>
    <row r="202" spans="2:17" x14ac:dyDescent="0.25">
      <c r="B202" t="str">
        <f t="shared" si="18"/>
        <v>StrongMax 18 oldalfalak 185/400 mm, fehér J+B</v>
      </c>
      <c r="C202" s="3" t="s">
        <v>1480</v>
      </c>
      <c r="D202" t="s">
        <v>1481</v>
      </c>
      <c r="E202" t="s">
        <v>1482</v>
      </c>
      <c r="F202" t="s">
        <v>1483</v>
      </c>
      <c r="G202" t="s">
        <v>1484</v>
      </c>
      <c r="H202" t="s">
        <v>1485</v>
      </c>
      <c r="K202">
        <v>185</v>
      </c>
      <c r="L202" t="str">
        <f>Překlady!$C$31</f>
        <v>fehér</v>
      </c>
      <c r="M202">
        <v>400</v>
      </c>
      <c r="N202" t="str">
        <f>Překlady!$C$82</f>
        <v>tömör oldalfal</v>
      </c>
      <c r="O202" t="str">
        <f t="shared" si="17"/>
        <v>185 mm_fehér_400_tömör oldalfal</v>
      </c>
      <c r="P202" s="3" t="str">
        <f t="shared" si="15"/>
        <v>502851</v>
      </c>
      <c r="Q202" t="str">
        <f t="shared" si="16"/>
        <v>StrongMax 18 oldalfalak 185/400 mm, fehér J+B</v>
      </c>
    </row>
    <row r="203" spans="2:17" x14ac:dyDescent="0.25">
      <c r="B203" t="str">
        <f t="shared" si="18"/>
        <v>StrongMax 18 oldalfalak 185/450 mm, fehér J+B</v>
      </c>
      <c r="C203" s="3" t="s">
        <v>1486</v>
      </c>
      <c r="D203" t="s">
        <v>1487</v>
      </c>
      <c r="E203" t="s">
        <v>1488</v>
      </c>
      <c r="F203" t="s">
        <v>1489</v>
      </c>
      <c r="G203" t="s">
        <v>1490</v>
      </c>
      <c r="H203" t="s">
        <v>1491</v>
      </c>
      <c r="K203">
        <v>185</v>
      </c>
      <c r="L203" t="str">
        <f>Překlady!$C$31</f>
        <v>fehér</v>
      </c>
      <c r="M203">
        <v>450</v>
      </c>
      <c r="N203" t="str">
        <f>Překlady!$C$82</f>
        <v>tömör oldalfal</v>
      </c>
      <c r="O203" t="str">
        <f t="shared" si="17"/>
        <v>185 mm_fehér_450_tömör oldalfal</v>
      </c>
      <c r="P203" s="3" t="str">
        <f t="shared" si="15"/>
        <v>502850</v>
      </c>
      <c r="Q203" t="str">
        <f t="shared" si="16"/>
        <v>StrongMax 18 oldalfalak 185/450 mm, fehér J+B</v>
      </c>
    </row>
    <row r="204" spans="2:17" x14ac:dyDescent="0.25">
      <c r="B204" t="str">
        <f t="shared" si="18"/>
        <v>StrongMax 18 oldalfalak 185/500 mm, fehér J+B</v>
      </c>
      <c r="C204" s="3" t="s">
        <v>1492</v>
      </c>
      <c r="D204" t="s">
        <v>1493</v>
      </c>
      <c r="E204" t="s">
        <v>1494</v>
      </c>
      <c r="F204" t="s">
        <v>1495</v>
      </c>
      <c r="G204" t="s">
        <v>1496</v>
      </c>
      <c r="H204" t="s">
        <v>1497</v>
      </c>
      <c r="K204">
        <v>185</v>
      </c>
      <c r="L204" t="str">
        <f>Překlady!$C$31</f>
        <v>fehér</v>
      </c>
      <c r="M204">
        <v>500</v>
      </c>
      <c r="N204" t="str">
        <f>Překlady!$C$82</f>
        <v>tömör oldalfal</v>
      </c>
      <c r="O204" t="str">
        <f t="shared" si="17"/>
        <v>185 mm_fehér_500_tömör oldalfal</v>
      </c>
      <c r="P204" s="3" t="str">
        <f t="shared" si="15"/>
        <v>502849</v>
      </c>
      <c r="Q204" t="str">
        <f t="shared" si="16"/>
        <v>StrongMax 18 oldalfalak 185/500 mm, fehér J+B</v>
      </c>
    </row>
    <row r="205" spans="2:17" x14ac:dyDescent="0.25">
      <c r="B205" t="str">
        <f t="shared" si="18"/>
        <v>StrongMax 18 oldalfalak 185/550 mm, fehér J+B</v>
      </c>
      <c r="C205" s="3" t="s">
        <v>1498</v>
      </c>
      <c r="D205" t="s">
        <v>1499</v>
      </c>
      <c r="E205" t="s">
        <v>1500</v>
      </c>
      <c r="F205" t="s">
        <v>1501</v>
      </c>
      <c r="G205" t="s">
        <v>1502</v>
      </c>
      <c r="H205" t="s">
        <v>1503</v>
      </c>
      <c r="K205">
        <v>185</v>
      </c>
      <c r="L205" t="str">
        <f>Překlady!$C$31</f>
        <v>fehér</v>
      </c>
      <c r="M205">
        <v>550</v>
      </c>
      <c r="N205" t="str">
        <f>Překlady!$C$82</f>
        <v>tömör oldalfal</v>
      </c>
      <c r="O205" t="str">
        <f t="shared" si="17"/>
        <v>185 mm_fehér_550_tömör oldalfal</v>
      </c>
      <c r="P205" s="3" t="str">
        <f t="shared" si="15"/>
        <v>502848</v>
      </c>
      <c r="Q205" t="str">
        <f t="shared" si="16"/>
        <v>StrongMax 18 oldalfalak 185/550 mm, fehér J+B</v>
      </c>
    </row>
    <row r="206" spans="2:17" x14ac:dyDescent="0.25">
      <c r="B206" t="str">
        <f t="shared" si="18"/>
        <v>StrongMax 18 OLDALFALAK 185/600 mm, fehér J+B</v>
      </c>
      <c r="C206" s="3" t="s">
        <v>1504</v>
      </c>
      <c r="D206" t="s">
        <v>1505</v>
      </c>
      <c r="E206" t="s">
        <v>1506</v>
      </c>
      <c r="F206" t="s">
        <v>1507</v>
      </c>
      <c r="G206" t="s">
        <v>1508</v>
      </c>
      <c r="H206" t="s">
        <v>1509</v>
      </c>
      <c r="K206">
        <v>185</v>
      </c>
      <c r="L206" t="str">
        <f>Překlady!$C$31</f>
        <v>fehér</v>
      </c>
      <c r="M206">
        <v>600</v>
      </c>
      <c r="N206" t="str">
        <f>Překlady!$C$82</f>
        <v>tömör oldalfal</v>
      </c>
      <c r="O206" t="str">
        <f t="shared" si="17"/>
        <v>185 mm_fehér_600_tömör oldalfal</v>
      </c>
      <c r="P206" s="3" t="str">
        <f t="shared" si="15"/>
        <v>503113</v>
      </c>
      <c r="Q206" t="str">
        <f t="shared" si="16"/>
        <v>StrongMax 18 OLDALFALAK 185/600 mm, fehér J+B</v>
      </c>
    </row>
    <row r="207" spans="2:17" x14ac:dyDescent="0.25">
      <c r="B207" t="str">
        <f t="shared" si="18"/>
        <v>StrongMax 18 oldalfalak  185/650 mm, fehér J+B</v>
      </c>
      <c r="C207" s="3" t="s">
        <v>1510</v>
      </c>
      <c r="D207" t="s">
        <v>1511</v>
      </c>
      <c r="E207" t="s">
        <v>1512</v>
      </c>
      <c r="F207" t="s">
        <v>1513</v>
      </c>
      <c r="G207" t="s">
        <v>1514</v>
      </c>
      <c r="H207" t="s">
        <v>1515</v>
      </c>
      <c r="K207">
        <v>185</v>
      </c>
      <c r="L207" t="str">
        <f>Překlady!$C$31</f>
        <v>fehér</v>
      </c>
      <c r="M207">
        <v>650</v>
      </c>
      <c r="N207" t="str">
        <f>Překlady!$C$82</f>
        <v>tömör oldalfal</v>
      </c>
      <c r="O207" t="str">
        <f t="shared" si="17"/>
        <v>185 mm_fehér_650_tömör oldalfal</v>
      </c>
      <c r="P207" s="3" t="str">
        <f t="shared" si="15"/>
        <v>503114</v>
      </c>
      <c r="Q207" t="str">
        <f t="shared" si="16"/>
        <v>StrongMax 18 oldalfalak  185/650 mm, fehér J+B</v>
      </c>
    </row>
    <row r="208" spans="2:17" x14ac:dyDescent="0.25">
      <c r="B208" t="str">
        <f t="shared" ref="B208:B233" si="19">IF($D$1=1,D:D,IF($D$1=2,E:E,IF($D$1=3,F:F,IF($D$1=4,G:G,IF($D$1=5,H:H)))))</f>
        <v>StrongMax 18 oldalfal 185/450 mm, üvegezett, fehér J+B</v>
      </c>
      <c r="C208" s="3" t="s">
        <v>1516</v>
      </c>
      <c r="D208" t="s">
        <v>1517</v>
      </c>
      <c r="E208" t="s">
        <v>1518</v>
      </c>
      <c r="F208" t="s">
        <v>1519</v>
      </c>
      <c r="G208" t="s">
        <v>1520</v>
      </c>
      <c r="H208" t="s">
        <v>1521</v>
      </c>
      <c r="K208">
        <v>185</v>
      </c>
      <c r="L208" t="str">
        <f>Překlady!$C$31</f>
        <v>fehér</v>
      </c>
      <c r="M208">
        <v>450</v>
      </c>
      <c r="N208" t="str">
        <f>Překlady!$C$83</f>
        <v>üvegezett oldalfal</v>
      </c>
      <c r="O208" t="str">
        <f t="shared" si="17"/>
        <v>185 mm_fehér_450_üvegezett oldalfal</v>
      </c>
      <c r="P208" s="3" t="str">
        <f t="shared" ref="P208:P233" si="20">C208</f>
        <v>502931</v>
      </c>
      <c r="Q208" t="str">
        <f t="shared" ref="Q208:Q233" si="21">B208</f>
        <v>StrongMax 18 oldalfal 185/450 mm, üvegezett, fehér J+B</v>
      </c>
    </row>
    <row r="209" spans="2:17" x14ac:dyDescent="0.25">
      <c r="B209" t="str">
        <f t="shared" si="19"/>
        <v>StrongMax 18 oldalfalak 185/500 mm, mázas, fehér J+B</v>
      </c>
      <c r="C209" s="3" t="s">
        <v>1522</v>
      </c>
      <c r="D209" t="s">
        <v>1523</v>
      </c>
      <c r="E209" t="s">
        <v>1524</v>
      </c>
      <c r="F209" t="s">
        <v>1525</v>
      </c>
      <c r="G209" t="s">
        <v>1526</v>
      </c>
      <c r="H209" t="s">
        <v>1527</v>
      </c>
      <c r="K209">
        <v>185</v>
      </c>
      <c r="L209" t="str">
        <f>Překlady!$C$31</f>
        <v>fehér</v>
      </c>
      <c r="M209">
        <v>500</v>
      </c>
      <c r="N209" t="str">
        <f>Překlady!$C$83</f>
        <v>üvegezett oldalfal</v>
      </c>
      <c r="O209" t="str">
        <f t="shared" si="17"/>
        <v>185 mm_fehér_500_üvegezett oldalfal</v>
      </c>
      <c r="P209" s="3" t="str">
        <f t="shared" si="20"/>
        <v>502932</v>
      </c>
      <c r="Q209" t="str">
        <f t="shared" si="21"/>
        <v>StrongMax 18 oldalfalak 185/500 mm, mázas, fehér J+B</v>
      </c>
    </row>
    <row r="210" spans="2:17" x14ac:dyDescent="0.25">
      <c r="B210" t="str">
        <f t="shared" si="19"/>
        <v>StrongMax 18 oldalfalak 185/550 mm, mázas, fehér J+B</v>
      </c>
      <c r="C210" s="3" t="s">
        <v>1528</v>
      </c>
      <c r="D210" t="s">
        <v>1529</v>
      </c>
      <c r="E210" t="s">
        <v>1530</v>
      </c>
      <c r="F210" t="s">
        <v>1531</v>
      </c>
      <c r="G210" t="s">
        <v>1532</v>
      </c>
      <c r="H210" t="s">
        <v>1533</v>
      </c>
      <c r="K210">
        <v>185</v>
      </c>
      <c r="L210" t="str">
        <f>Překlady!$C$31</f>
        <v>fehér</v>
      </c>
      <c r="M210">
        <v>550</v>
      </c>
      <c r="N210" t="str">
        <f>Překlady!$C$83</f>
        <v>üvegezett oldalfal</v>
      </c>
      <c r="O210" t="str">
        <f t="shared" si="17"/>
        <v>185 mm_fehér_550_üvegezett oldalfal</v>
      </c>
      <c r="P210" s="3" t="str">
        <f t="shared" si="20"/>
        <v>502928</v>
      </c>
      <c r="Q210" t="str">
        <f t="shared" si="21"/>
        <v>StrongMax 18 oldalfalak 185/550 mm, mázas, fehér J+B</v>
      </c>
    </row>
    <row r="211" spans="2:17" x14ac:dyDescent="0.25">
      <c r="B211" t="str">
        <f t="shared" si="19"/>
        <v>StrongMax 18 oldalfalak 249/450 mm, fehér J+B</v>
      </c>
      <c r="C211" s="3" t="s">
        <v>1534</v>
      </c>
      <c r="D211" t="s">
        <v>1535</v>
      </c>
      <c r="E211" t="s">
        <v>1536</v>
      </c>
      <c r="F211" t="s">
        <v>1537</v>
      </c>
      <c r="G211" t="s">
        <v>1538</v>
      </c>
      <c r="H211" t="s">
        <v>1539</v>
      </c>
      <c r="K211">
        <v>249</v>
      </c>
      <c r="L211" t="str">
        <f>Překlady!$C$31</f>
        <v>fehér</v>
      </c>
      <c r="M211">
        <v>450</v>
      </c>
      <c r="N211" t="str">
        <f>Překlady!$C$82</f>
        <v>tömör oldalfal</v>
      </c>
      <c r="O211" t="str">
        <f t="shared" si="17"/>
        <v>249 mm_fehér_450_tömör oldalfal</v>
      </c>
      <c r="P211" s="3" t="str">
        <f t="shared" si="20"/>
        <v>502904</v>
      </c>
      <c r="Q211" t="str">
        <f t="shared" si="21"/>
        <v>StrongMax 18 oldalfalak 249/450 mm, fehér J+B</v>
      </c>
    </row>
    <row r="212" spans="2:17" x14ac:dyDescent="0.25">
      <c r="B212" t="str">
        <f t="shared" si="19"/>
        <v>StrongMax 18 oldalfalak 249/500 mm, fehér J+B</v>
      </c>
      <c r="C212" s="3" t="s">
        <v>1540</v>
      </c>
      <c r="D212" t="s">
        <v>1541</v>
      </c>
      <c r="E212" t="s">
        <v>1542</v>
      </c>
      <c r="F212" t="s">
        <v>1543</v>
      </c>
      <c r="G212" t="s">
        <v>1544</v>
      </c>
      <c r="H212" t="s">
        <v>1545</v>
      </c>
      <c r="K212">
        <v>249</v>
      </c>
      <c r="L212" t="str">
        <f>Překlady!$C$31</f>
        <v>fehér</v>
      </c>
      <c r="M212">
        <v>500</v>
      </c>
      <c r="N212" t="str">
        <f>Překlady!$C$82</f>
        <v>tömör oldalfal</v>
      </c>
      <c r="O212" t="str">
        <f t="shared" si="17"/>
        <v>249 mm_fehér_500_tömör oldalfal</v>
      </c>
      <c r="P212" s="3" t="str">
        <f t="shared" si="20"/>
        <v>502905</v>
      </c>
      <c r="Q212" t="str">
        <f t="shared" si="21"/>
        <v>StrongMax 18 oldalfalak 249/500 mm, fehér J+B</v>
      </c>
    </row>
    <row r="213" spans="2:17" x14ac:dyDescent="0.25">
      <c r="B213" t="str">
        <f t="shared" si="19"/>
        <v>StrongMax 18 oldalfalak 249/550 mm, fehér J+B</v>
      </c>
      <c r="C213" s="3" t="s">
        <v>1546</v>
      </c>
      <c r="D213" t="s">
        <v>1547</v>
      </c>
      <c r="E213" t="s">
        <v>1548</v>
      </c>
      <c r="F213" t="s">
        <v>1549</v>
      </c>
      <c r="G213" t="s">
        <v>1550</v>
      </c>
      <c r="H213" t="s">
        <v>1551</v>
      </c>
      <c r="K213">
        <v>249</v>
      </c>
      <c r="L213" t="str">
        <f>Překlady!$C$31</f>
        <v>fehér</v>
      </c>
      <c r="M213">
        <v>550</v>
      </c>
      <c r="N213" t="str">
        <f>Překlady!$C$82</f>
        <v>tömör oldalfal</v>
      </c>
      <c r="O213" t="str">
        <f t="shared" si="17"/>
        <v>249 mm_fehér_550_tömör oldalfal</v>
      </c>
      <c r="P213" s="3" t="str">
        <f t="shared" si="20"/>
        <v>502906</v>
      </c>
      <c r="Q213" t="str">
        <f t="shared" si="21"/>
        <v>StrongMax 18 oldalfalak 249/550 mm, fehér J+B</v>
      </c>
    </row>
    <row r="214" spans="2:17" x14ac:dyDescent="0.25">
      <c r="B214" t="str">
        <f t="shared" si="19"/>
        <v>StrongMax 18 oldalfalak 249/600 mm, fehér J+B</v>
      </c>
      <c r="C214" s="3" t="s">
        <v>1552</v>
      </c>
      <c r="D214" t="s">
        <v>1553</v>
      </c>
      <c r="E214" t="s">
        <v>1554</v>
      </c>
      <c r="F214" t="s">
        <v>1555</v>
      </c>
      <c r="G214" t="s">
        <v>1556</v>
      </c>
      <c r="H214" t="s">
        <v>1557</v>
      </c>
      <c r="K214">
        <v>249</v>
      </c>
      <c r="L214" t="str">
        <f>Překlady!$C$31</f>
        <v>fehér</v>
      </c>
      <c r="M214">
        <v>600</v>
      </c>
      <c r="N214" t="str">
        <f>Překlady!$C$82</f>
        <v>tömör oldalfal</v>
      </c>
      <c r="O214" t="str">
        <f t="shared" si="17"/>
        <v>249 mm_fehér_600_tömör oldalfal</v>
      </c>
      <c r="P214" s="3" t="str">
        <f t="shared" si="20"/>
        <v>502907</v>
      </c>
      <c r="Q214" t="str">
        <f t="shared" si="21"/>
        <v>StrongMax 18 oldalfalak 249/600 mm, fehér J+B</v>
      </c>
    </row>
    <row r="215" spans="2:17" x14ac:dyDescent="0.25">
      <c r="B215" t="str">
        <f t="shared" si="19"/>
        <v>StrongMax 18 oldalfalak 249/650 mm, fehér J+B</v>
      </c>
      <c r="C215" s="3" t="s">
        <v>1558</v>
      </c>
      <c r="D215" t="s">
        <v>1559</v>
      </c>
      <c r="E215" t="s">
        <v>1560</v>
      </c>
      <c r="F215" t="s">
        <v>1561</v>
      </c>
      <c r="G215" t="s">
        <v>1562</v>
      </c>
      <c r="H215" t="s">
        <v>1563</v>
      </c>
      <c r="K215">
        <v>249</v>
      </c>
      <c r="L215" t="str">
        <f>Překlady!$C$31</f>
        <v>fehér</v>
      </c>
      <c r="M215">
        <v>650</v>
      </c>
      <c r="N215" t="str">
        <f>Překlady!$C$82</f>
        <v>tömör oldalfal</v>
      </c>
      <c r="O215" t="str">
        <f t="shared" si="17"/>
        <v>249 mm_fehér_650_tömör oldalfal</v>
      </c>
      <c r="P215" s="3" t="str">
        <f t="shared" si="20"/>
        <v>502908</v>
      </c>
      <c r="Q215" t="str">
        <f t="shared" si="21"/>
        <v>StrongMax 18 oldalfalak 249/650 mm, fehér J+B</v>
      </c>
    </row>
    <row r="216" spans="2:17" x14ac:dyDescent="0.25">
      <c r="B216" t="str">
        <f t="shared" si="19"/>
        <v>StrongMax 18 oldalfalak 89/450 mm, fekete J+B</v>
      </c>
      <c r="C216" s="3" t="s">
        <v>1564</v>
      </c>
      <c r="D216" t="s">
        <v>1565</v>
      </c>
      <c r="E216" t="s">
        <v>1566</v>
      </c>
      <c r="F216" t="s">
        <v>1567</v>
      </c>
      <c r="G216" t="s">
        <v>1568</v>
      </c>
      <c r="H216" t="s">
        <v>1569</v>
      </c>
      <c r="K216">
        <v>89</v>
      </c>
      <c r="L216" t="str">
        <f>Překlady!$C$32</f>
        <v>fekete</v>
      </c>
      <c r="M216">
        <v>450</v>
      </c>
      <c r="N216" t="str">
        <f>Překlady!$C$82</f>
        <v>tömör oldalfal</v>
      </c>
      <c r="O216" t="str">
        <f t="shared" si="17"/>
        <v>89 mm_fekete_450_tömör oldalfal</v>
      </c>
      <c r="P216" s="3" t="str">
        <f t="shared" si="20"/>
        <v>502885</v>
      </c>
      <c r="Q216" t="str">
        <f t="shared" si="21"/>
        <v>StrongMax 18 oldalfalak 89/450 mm, fekete J+B</v>
      </c>
    </row>
    <row r="217" spans="2:17" x14ac:dyDescent="0.25">
      <c r="B217" t="str">
        <f t="shared" si="19"/>
        <v>StrongMax 18 oldalfalak 121/450 mm, fekete J+B</v>
      </c>
      <c r="C217" s="3">
        <v>502899</v>
      </c>
      <c r="D217" t="s">
        <v>1570</v>
      </c>
      <c r="E217" t="s">
        <v>1571</v>
      </c>
      <c r="F217" t="s">
        <v>1572</v>
      </c>
      <c r="G217" t="s">
        <v>1573</v>
      </c>
      <c r="H217" t="s">
        <v>1574</v>
      </c>
      <c r="K217">
        <v>121</v>
      </c>
      <c r="L217" t="str">
        <f>Překlady!$C$32</f>
        <v>fekete</v>
      </c>
      <c r="M217">
        <v>450</v>
      </c>
      <c r="N217" t="str">
        <f>Překlady!$C$82</f>
        <v>tömör oldalfal</v>
      </c>
      <c r="O217" t="str">
        <f t="shared" ref="O217:O225" si="22">CONCATENATE(K217," mm_",L217,"_",M217,"_",N217)</f>
        <v>121 mm_fekete_450_tömör oldalfal</v>
      </c>
      <c r="P217" s="3">
        <f t="shared" si="20"/>
        <v>502899</v>
      </c>
      <c r="Q217" t="str">
        <f t="shared" si="21"/>
        <v>StrongMax 18 oldalfalak 121/450 mm, fekete J+B</v>
      </c>
    </row>
    <row r="218" spans="2:17" x14ac:dyDescent="0.25">
      <c r="B218" t="str">
        <f t="shared" si="19"/>
        <v>StrongMax 18 oldalfalak 89/500 mm, fekete J+B</v>
      </c>
      <c r="C218" s="3">
        <v>502884</v>
      </c>
      <c r="D218" t="s">
        <v>1575</v>
      </c>
      <c r="E218" t="s">
        <v>1576</v>
      </c>
      <c r="F218" t="s">
        <v>1577</v>
      </c>
      <c r="G218" t="s">
        <v>1578</v>
      </c>
      <c r="H218" t="s">
        <v>1579</v>
      </c>
      <c r="K218">
        <v>89</v>
      </c>
      <c r="L218" t="str">
        <f>Překlady!$C$32</f>
        <v>fekete</v>
      </c>
      <c r="M218">
        <v>500</v>
      </c>
      <c r="N218" t="str">
        <f>Překlady!$C$82</f>
        <v>tömör oldalfal</v>
      </c>
      <c r="O218" t="str">
        <f t="shared" si="22"/>
        <v>89 mm_fekete_500_tömör oldalfal</v>
      </c>
      <c r="P218" s="3">
        <f t="shared" si="20"/>
        <v>502884</v>
      </c>
      <c r="Q218" t="str">
        <f t="shared" si="21"/>
        <v>StrongMax 18 oldalfalak 89/500 mm, fekete J+B</v>
      </c>
    </row>
    <row r="219" spans="2:17" x14ac:dyDescent="0.25">
      <c r="B219" t="str">
        <f t="shared" si="19"/>
        <v>StrongMax 18 oldalfalak 185/450 mm, fekete J+B</v>
      </c>
      <c r="C219" s="3">
        <v>502892</v>
      </c>
      <c r="D219" t="s">
        <v>1580</v>
      </c>
      <c r="E219" t="s">
        <v>1581</v>
      </c>
      <c r="F219" t="s">
        <v>1582</v>
      </c>
      <c r="G219" t="s">
        <v>1583</v>
      </c>
      <c r="H219" t="s">
        <v>1584</v>
      </c>
      <c r="K219">
        <v>185</v>
      </c>
      <c r="L219" t="str">
        <f>Překlady!$C$32</f>
        <v>fekete</v>
      </c>
      <c r="M219">
        <v>450</v>
      </c>
      <c r="N219" t="str">
        <f>Překlady!$C$82</f>
        <v>tömör oldalfal</v>
      </c>
      <c r="O219" t="str">
        <f t="shared" si="22"/>
        <v>185 mm_fekete_450_tömör oldalfal</v>
      </c>
      <c r="P219" s="3">
        <f t="shared" si="20"/>
        <v>502892</v>
      </c>
      <c r="Q219" t="str">
        <f t="shared" si="21"/>
        <v>StrongMax 18 oldalfalak 185/450 mm, fekete J+B</v>
      </c>
    </row>
    <row r="220" spans="2:17" x14ac:dyDescent="0.25">
      <c r="B220" t="str">
        <f t="shared" si="19"/>
        <v>StrongMax 18 oldalfalak 121/500 mm, fekete J+B</v>
      </c>
      <c r="C220" s="3">
        <v>502898</v>
      </c>
      <c r="D220" t="s">
        <v>1585</v>
      </c>
      <c r="E220" t="s">
        <v>1586</v>
      </c>
      <c r="F220" t="s">
        <v>1587</v>
      </c>
      <c r="G220" t="s">
        <v>1588</v>
      </c>
      <c r="H220" t="s">
        <v>1589</v>
      </c>
      <c r="K220">
        <v>121</v>
      </c>
      <c r="L220" t="str">
        <f>Překlady!$C$32</f>
        <v>fekete</v>
      </c>
      <c r="M220">
        <v>500</v>
      </c>
      <c r="N220" t="str">
        <f>Překlady!$C$82</f>
        <v>tömör oldalfal</v>
      </c>
      <c r="O220" t="str">
        <f t="shared" si="22"/>
        <v>121 mm_fekete_500_tömör oldalfal</v>
      </c>
      <c r="P220" s="3">
        <f t="shared" si="20"/>
        <v>502898</v>
      </c>
      <c r="Q220" t="str">
        <f t="shared" si="21"/>
        <v>StrongMax 18 oldalfalak 121/500 mm, fekete J+B</v>
      </c>
    </row>
    <row r="221" spans="2:17" x14ac:dyDescent="0.25">
      <c r="B221" t="str">
        <f t="shared" si="19"/>
        <v>StrongMax 18 oldalfalak 185/450 mm, üvegezett, fekete J+B</v>
      </c>
      <c r="C221" s="3">
        <v>502935</v>
      </c>
      <c r="D221" t="s">
        <v>1590</v>
      </c>
      <c r="E221" t="s">
        <v>1591</v>
      </c>
      <c r="F221" t="s">
        <v>1592</v>
      </c>
      <c r="G221" t="s">
        <v>1593</v>
      </c>
      <c r="H221" t="s">
        <v>1594</v>
      </c>
      <c r="K221">
        <v>185</v>
      </c>
      <c r="L221" t="str">
        <f>Překlady!$C$32</f>
        <v>fekete</v>
      </c>
      <c r="M221">
        <v>450</v>
      </c>
      <c r="N221" t="str">
        <f>Překlady!$C$83</f>
        <v>üvegezett oldalfal</v>
      </c>
      <c r="O221" t="str">
        <f t="shared" si="22"/>
        <v>185 mm_fekete_450_üvegezett oldalfal</v>
      </c>
      <c r="P221" s="3">
        <f t="shared" si="20"/>
        <v>502935</v>
      </c>
      <c r="Q221" t="str">
        <f t="shared" si="21"/>
        <v>StrongMax 18 oldalfalak 185/450 mm, üvegezett, fekete J+B</v>
      </c>
    </row>
    <row r="222" spans="2:17" x14ac:dyDescent="0.25">
      <c r="B222" t="str">
        <f t="shared" si="19"/>
        <v>StrongMax 18 oldalfalak 185/500 mm, fekete J+B</v>
      </c>
      <c r="C222" s="3">
        <v>502891</v>
      </c>
      <c r="D222" t="s">
        <v>1595</v>
      </c>
      <c r="E222" t="s">
        <v>1596</v>
      </c>
      <c r="F222" t="s">
        <v>1597</v>
      </c>
      <c r="G222" t="s">
        <v>1598</v>
      </c>
      <c r="H222" t="s">
        <v>1599</v>
      </c>
      <c r="K222">
        <v>185</v>
      </c>
      <c r="L222" t="str">
        <f>Překlady!$C$32</f>
        <v>fekete</v>
      </c>
      <c r="M222">
        <v>500</v>
      </c>
      <c r="N222" t="str">
        <f>Překlady!$C$82</f>
        <v>tömör oldalfal</v>
      </c>
      <c r="O222" t="str">
        <f t="shared" si="22"/>
        <v>185 mm_fekete_500_tömör oldalfal</v>
      </c>
      <c r="P222" s="3">
        <f t="shared" si="20"/>
        <v>502891</v>
      </c>
      <c r="Q222" t="str">
        <f t="shared" si="21"/>
        <v>StrongMax 18 oldalfalak 185/500 mm, fekete J+B</v>
      </c>
    </row>
    <row r="223" spans="2:17" x14ac:dyDescent="0.25">
      <c r="B223" t="str">
        <f t="shared" si="19"/>
        <v>StrongMax 18 oldalfalak 249/450 mm, fekete J+B</v>
      </c>
      <c r="C223" s="3">
        <v>502914</v>
      </c>
      <c r="D223" t="s">
        <v>1600</v>
      </c>
      <c r="E223" t="s">
        <v>1601</v>
      </c>
      <c r="F223" t="s">
        <v>1602</v>
      </c>
      <c r="G223" t="s">
        <v>1603</v>
      </c>
      <c r="H223" t="s">
        <v>1604</v>
      </c>
      <c r="K223">
        <v>249</v>
      </c>
      <c r="L223" t="str">
        <f>Překlady!$C$32</f>
        <v>fekete</v>
      </c>
      <c r="M223">
        <v>450</v>
      </c>
      <c r="N223" t="str">
        <f>Překlady!$C$82</f>
        <v>tömör oldalfal</v>
      </c>
      <c r="O223" t="str">
        <f t="shared" si="22"/>
        <v>249 mm_fekete_450_tömör oldalfal</v>
      </c>
      <c r="P223" s="3">
        <f t="shared" si="20"/>
        <v>502914</v>
      </c>
      <c r="Q223" t="str">
        <f t="shared" si="21"/>
        <v>StrongMax 18 oldalfalak 249/450 mm, fekete J+B</v>
      </c>
    </row>
    <row r="224" spans="2:17" x14ac:dyDescent="0.25">
      <c r="B224" t="str">
        <f t="shared" si="19"/>
        <v>StrongMax 18 oldalfalak 185/500 mm, mázas, fekete J+B</v>
      </c>
      <c r="C224" s="3">
        <v>502936</v>
      </c>
      <c r="D224" t="s">
        <v>1605</v>
      </c>
      <c r="E224" t="s">
        <v>1606</v>
      </c>
      <c r="F224" t="s">
        <v>1607</v>
      </c>
      <c r="G224" t="s">
        <v>1608</v>
      </c>
      <c r="H224" t="s">
        <v>1609</v>
      </c>
      <c r="K224">
        <v>185</v>
      </c>
      <c r="L224" t="str">
        <f>Překlady!$C$32</f>
        <v>fekete</v>
      </c>
      <c r="M224">
        <v>500</v>
      </c>
      <c r="N224" t="str">
        <f>Překlady!$C$83</f>
        <v>üvegezett oldalfal</v>
      </c>
      <c r="O224" t="str">
        <f t="shared" si="22"/>
        <v>185 mm_fekete_500_üvegezett oldalfal</v>
      </c>
      <c r="P224" s="3">
        <f t="shared" si="20"/>
        <v>502936</v>
      </c>
      <c r="Q224" t="str">
        <f t="shared" si="21"/>
        <v>StrongMax 18 oldalfalak 185/500 mm, mázas, fekete J+B</v>
      </c>
    </row>
    <row r="225" spans="2:17" x14ac:dyDescent="0.25">
      <c r="B225" t="str">
        <f t="shared" si="19"/>
        <v>StrongMax 18 oldalfalak 249/500 mm, fekete J+B</v>
      </c>
      <c r="C225" s="3">
        <v>502915</v>
      </c>
      <c r="D225" t="s">
        <v>1610</v>
      </c>
      <c r="E225" t="s">
        <v>1611</v>
      </c>
      <c r="F225" t="s">
        <v>1612</v>
      </c>
      <c r="G225" t="s">
        <v>1613</v>
      </c>
      <c r="H225" t="s">
        <v>1614</v>
      </c>
      <c r="K225">
        <v>249</v>
      </c>
      <c r="L225" t="str">
        <f>Překlady!$C$32</f>
        <v>fekete</v>
      </c>
      <c r="M225">
        <v>500</v>
      </c>
      <c r="N225" t="str">
        <f>Překlady!$C$82</f>
        <v>tömör oldalfal</v>
      </c>
      <c r="O225" t="str">
        <f t="shared" si="22"/>
        <v>249 mm_fekete_500_tömör oldalfal</v>
      </c>
      <c r="P225" s="3">
        <f t="shared" si="20"/>
        <v>502915</v>
      </c>
      <c r="Q225" t="str">
        <f t="shared" si="21"/>
        <v>StrongMax 18 oldalfalak 249/500 mm, fekete J+B</v>
      </c>
    </row>
    <row r="226" spans="2:17" x14ac:dyDescent="0.25">
      <c r="B226" t="str">
        <f t="shared" si="19"/>
        <v>StrongMax fióksín 300mm 40kg csillapítással B+J</v>
      </c>
      <c r="C226" s="3">
        <v>374229</v>
      </c>
      <c r="D226" t="s">
        <v>1615</v>
      </c>
      <c r="E226" t="s">
        <v>1616</v>
      </c>
      <c r="F226" t="s">
        <v>1617</v>
      </c>
      <c r="G226" t="s">
        <v>1618</v>
      </c>
      <c r="H226" t="s">
        <v>1619</v>
      </c>
      <c r="O226">
        <v>300</v>
      </c>
      <c r="P226" s="3">
        <f t="shared" si="20"/>
        <v>374229</v>
      </c>
      <c r="Q226" t="str">
        <f t="shared" si="21"/>
        <v>StrongMax fióksín 300mm 40kg csillapítással B+J</v>
      </c>
    </row>
    <row r="227" spans="2:17" x14ac:dyDescent="0.25">
      <c r="B227" t="str">
        <f t="shared" si="19"/>
        <v>StrongMax fióksín 350mm 40kg csillapítással B+J</v>
      </c>
      <c r="C227" s="3">
        <v>374230</v>
      </c>
      <c r="D227" t="s">
        <v>1620</v>
      </c>
      <c r="E227" t="s">
        <v>1621</v>
      </c>
      <c r="F227" t="s">
        <v>1622</v>
      </c>
      <c r="G227" t="s">
        <v>1623</v>
      </c>
      <c r="H227" t="s">
        <v>1624</v>
      </c>
      <c r="O227">
        <v>350</v>
      </c>
      <c r="P227" s="3">
        <f t="shared" si="20"/>
        <v>374230</v>
      </c>
      <c r="Q227" t="str">
        <f t="shared" si="21"/>
        <v>StrongMax fióksín 350mm 40kg csillapítással B+J</v>
      </c>
    </row>
    <row r="228" spans="2:17" x14ac:dyDescent="0.25">
      <c r="B228" t="str">
        <f t="shared" si="19"/>
        <v>StrongMax fióksín 400mm 40kg csillapítással B+J</v>
      </c>
      <c r="C228" s="3">
        <v>374231</v>
      </c>
      <c r="D228" t="s">
        <v>1625</v>
      </c>
      <c r="E228" t="s">
        <v>1626</v>
      </c>
      <c r="F228" t="s">
        <v>1627</v>
      </c>
      <c r="G228" t="s">
        <v>1628</v>
      </c>
      <c r="H228" t="s">
        <v>1629</v>
      </c>
      <c r="O228">
        <v>400</v>
      </c>
      <c r="P228" s="3">
        <f t="shared" si="20"/>
        <v>374231</v>
      </c>
      <c r="Q228" t="str">
        <f t="shared" si="21"/>
        <v>StrongMax fióksín 400mm 40kg csillapítással B+J</v>
      </c>
    </row>
    <row r="229" spans="2:17" x14ac:dyDescent="0.25">
      <c r="B229" t="str">
        <f t="shared" si="19"/>
        <v>StrongMax fióksín 450mm 40kg csillapítással B+J</v>
      </c>
      <c r="C229" s="3" t="s">
        <v>1630</v>
      </c>
      <c r="D229" t="s">
        <v>1631</v>
      </c>
      <c r="E229" t="s">
        <v>1632</v>
      </c>
      <c r="F229" t="s">
        <v>1633</v>
      </c>
      <c r="G229" t="s">
        <v>1634</v>
      </c>
      <c r="H229" t="s">
        <v>1635</v>
      </c>
      <c r="O229">
        <v>450</v>
      </c>
      <c r="P229" s="3" t="str">
        <f t="shared" si="20"/>
        <v>374232</v>
      </c>
      <c r="Q229" t="str">
        <f t="shared" si="21"/>
        <v>StrongMax fióksín 450mm 40kg csillapítással B+J</v>
      </c>
    </row>
    <row r="230" spans="2:17" x14ac:dyDescent="0.25">
      <c r="B230" t="str">
        <f t="shared" si="19"/>
        <v>StrongMax fióksín 500mm 40kg csillapítással B+J</v>
      </c>
      <c r="C230" s="3" t="s">
        <v>1636</v>
      </c>
      <c r="D230" t="s">
        <v>1637</v>
      </c>
      <c r="E230" t="s">
        <v>1638</v>
      </c>
      <c r="F230" t="s">
        <v>1639</v>
      </c>
      <c r="G230" t="s">
        <v>1640</v>
      </c>
      <c r="H230" t="s">
        <v>1641</v>
      </c>
      <c r="O230">
        <v>500</v>
      </c>
      <c r="P230" s="3" t="str">
        <f t="shared" si="20"/>
        <v>374233</v>
      </c>
      <c r="Q230" t="str">
        <f t="shared" si="21"/>
        <v>StrongMax fióksín 500mm 40kg csillapítással B+J</v>
      </c>
    </row>
    <row r="231" spans="2:17" x14ac:dyDescent="0.25">
      <c r="B231" t="str">
        <f t="shared" si="19"/>
        <v>StrongMax csillapított fióksín 550 mm/40 kg, készlet</v>
      </c>
      <c r="C231" s="3">
        <v>374234</v>
      </c>
      <c r="D231" t="s">
        <v>1642</v>
      </c>
      <c r="E231" t="s">
        <v>1643</v>
      </c>
      <c r="F231" t="s">
        <v>1644</v>
      </c>
      <c r="G231" t="s">
        <v>1645</v>
      </c>
      <c r="H231" t="s">
        <v>1646</v>
      </c>
      <c r="O231">
        <v>550</v>
      </c>
      <c r="P231" s="3">
        <f t="shared" si="20"/>
        <v>374234</v>
      </c>
      <c r="Q231" t="str">
        <f t="shared" si="21"/>
        <v>StrongMax csillapított fióksín 550 mm/40 kg, készlet</v>
      </c>
    </row>
    <row r="232" spans="2:17" x14ac:dyDescent="0.25">
      <c r="B232" t="str">
        <f t="shared" si="19"/>
        <v>StrongMax  sín 600mm 40kg csillapítással L+P</v>
      </c>
      <c r="C232" s="3" t="s">
        <v>1647</v>
      </c>
      <c r="D232" t="s">
        <v>1648</v>
      </c>
      <c r="E232" t="s">
        <v>1649</v>
      </c>
      <c r="F232" t="s">
        <v>1650</v>
      </c>
      <c r="G232" t="s">
        <v>1651</v>
      </c>
      <c r="H232" t="s">
        <v>1652</v>
      </c>
      <c r="O232">
        <v>600</v>
      </c>
      <c r="P232" s="3" t="str">
        <f t="shared" si="20"/>
        <v>502825</v>
      </c>
      <c r="Q232" t="str">
        <f t="shared" si="21"/>
        <v>StrongMax  sín 600mm 40kg csillapítással L+P</v>
      </c>
    </row>
    <row r="233" spans="2:17" x14ac:dyDescent="0.25">
      <c r="B233" t="str">
        <f t="shared" si="19"/>
        <v>StrongMax kihúzható 650mm 40kg csillapítással L+P</v>
      </c>
      <c r="C233" s="3" t="s">
        <v>1653</v>
      </c>
      <c r="D233" t="s">
        <v>1654</v>
      </c>
      <c r="E233" t="s">
        <v>1655</v>
      </c>
      <c r="F233" t="s">
        <v>1656</v>
      </c>
      <c r="G233" t="s">
        <v>1657</v>
      </c>
      <c r="H233" t="s">
        <v>1658</v>
      </c>
      <c r="O233">
        <v>650</v>
      </c>
      <c r="P233" s="3" t="str">
        <f t="shared" si="20"/>
        <v>502824</v>
      </c>
      <c r="Q233" t="str">
        <f t="shared" si="21"/>
        <v>StrongMax kihúzható 650mm 40kg csillapítással L+P</v>
      </c>
    </row>
    <row r="234" spans="2:17" x14ac:dyDescent="0.25">
      <c r="M234" t="s">
        <v>1659</v>
      </c>
    </row>
    <row r="235" spans="2:17" x14ac:dyDescent="0.25">
      <c r="B235" t="str">
        <f t="shared" ref="B235:B266" si="23">IF($D$1=1,D:D,IF($D$1=2,E:E,IF($D$1=3,F:F,IF($D$1=4,G:G,IF($D$1=5,H:H)))))</f>
        <v>K-StrongMini fiók 121/270mm, csillapított részleges kihúzású sín 25kg, fehér</v>
      </c>
      <c r="C235" s="3" t="s">
        <v>1660</v>
      </c>
      <c r="D235" s="3" t="s">
        <v>1661</v>
      </c>
      <c r="E235" s="3" t="s">
        <v>1662</v>
      </c>
      <c r="F235" s="3" t="s">
        <v>1663</v>
      </c>
      <c r="G235" s="3" t="s">
        <v>1664</v>
      </c>
      <c r="H235" s="3" t="s">
        <v>1665</v>
      </c>
      <c r="I235" s="3" t="s">
        <v>1666</v>
      </c>
      <c r="K235" s="3" t="s">
        <v>1667</v>
      </c>
      <c r="L235" s="87" t="s">
        <v>101</v>
      </c>
      <c r="M235" s="87" t="s">
        <v>373</v>
      </c>
      <c r="N235" s="87">
        <v>270</v>
      </c>
      <c r="O235" s="4" t="str">
        <f>_xlfn.CONCAT(L235,"_",M235,"_",K235,"_",N235)</f>
        <v>bílá_částečný výsuv_121_270</v>
      </c>
      <c r="P235" s="64" t="str">
        <f>C235</f>
        <v>548493</v>
      </c>
      <c r="Q235" t="str">
        <f>B235</f>
        <v>K-StrongMini fiók 121/270mm, csillapított részleges kihúzású sín 25kg, fehér</v>
      </c>
    </row>
    <row r="236" spans="2:17" x14ac:dyDescent="0.25">
      <c r="B236" t="str">
        <f t="shared" si="23"/>
        <v>K-StrongMini fiók 121/270mm, csillapított részleges kihúzású sín 25kg, szürke</v>
      </c>
      <c r="C236" s="3" t="s">
        <v>1668</v>
      </c>
      <c r="D236" s="3" t="s">
        <v>1669</v>
      </c>
      <c r="E236" s="3" t="s">
        <v>1670</v>
      </c>
      <c r="F236" s="3" t="s">
        <v>1671</v>
      </c>
      <c r="G236" s="3" t="s">
        <v>1672</v>
      </c>
      <c r="H236" s="3" t="s">
        <v>1673</v>
      </c>
      <c r="I236" s="3" t="s">
        <v>1666</v>
      </c>
      <c r="K236" s="3" t="s">
        <v>1667</v>
      </c>
      <c r="L236" s="87" t="s">
        <v>109</v>
      </c>
      <c r="M236" s="87" t="s">
        <v>373</v>
      </c>
      <c r="N236" s="87">
        <v>270</v>
      </c>
      <c r="O236" s="4" t="str">
        <f t="shared" ref="O236:O299" si="24">_xlfn.CONCAT(L236,"_",M236,"_",K236,"_",N236)</f>
        <v>šedá_částečný výsuv_121_270</v>
      </c>
      <c r="P236" s="64" t="str">
        <f t="shared" ref="P236:P299" si="25">C236</f>
        <v>548514</v>
      </c>
      <c r="Q236" t="str">
        <f t="shared" ref="Q236:Q299" si="26">B236</f>
        <v>K-StrongMini fiók 121/270mm, csillapított részleges kihúzású sín 25kg, szürke</v>
      </c>
    </row>
    <row r="237" spans="2:17" x14ac:dyDescent="0.25">
      <c r="B237" t="str">
        <f t="shared" si="23"/>
        <v>K-StrongMini fiók 121/270mm, csillapított teljes kihúzású sín 30kg, fehér</v>
      </c>
      <c r="C237" s="3" t="s">
        <v>1674</v>
      </c>
      <c r="D237" s="3" t="s">
        <v>1675</v>
      </c>
      <c r="E237" s="3" t="s">
        <v>1676</v>
      </c>
      <c r="F237" s="3" t="s">
        <v>1677</v>
      </c>
      <c r="G237" s="3" t="s">
        <v>1678</v>
      </c>
      <c r="H237" s="3" t="s">
        <v>1679</v>
      </c>
      <c r="I237" s="3" t="s">
        <v>1666</v>
      </c>
      <c r="K237" s="3" t="s">
        <v>1667</v>
      </c>
      <c r="L237" s="87" t="s">
        <v>101</v>
      </c>
      <c r="M237" s="87" t="s">
        <v>368</v>
      </c>
      <c r="N237" s="87">
        <v>270</v>
      </c>
      <c r="O237" s="4" t="str">
        <f t="shared" si="24"/>
        <v>bílá_plnovýsuv_121_270</v>
      </c>
      <c r="P237" s="64" t="str">
        <f t="shared" si="25"/>
        <v>548535</v>
      </c>
      <c r="Q237" t="str">
        <f t="shared" si="26"/>
        <v>K-StrongMini fiók 121/270mm, csillapított teljes kihúzású sín 30kg, fehér</v>
      </c>
    </row>
    <row r="238" spans="2:17" x14ac:dyDescent="0.25">
      <c r="B238" t="str">
        <f t="shared" si="23"/>
        <v>K-StrongMini fiók 121/270mm, csillapított teljes kihúzású sín 30kg, szürke</v>
      </c>
      <c r="C238" s="3" t="s">
        <v>1680</v>
      </c>
      <c r="D238" s="3" t="s">
        <v>1681</v>
      </c>
      <c r="E238" s="3" t="s">
        <v>1682</v>
      </c>
      <c r="F238" s="3" t="s">
        <v>1683</v>
      </c>
      <c r="G238" s="3" t="s">
        <v>1684</v>
      </c>
      <c r="H238" s="3" t="s">
        <v>1685</v>
      </c>
      <c r="I238" s="3" t="s">
        <v>1666</v>
      </c>
      <c r="K238" s="3" t="s">
        <v>1667</v>
      </c>
      <c r="L238" s="87" t="s">
        <v>109</v>
      </c>
      <c r="M238" s="87" t="s">
        <v>368</v>
      </c>
      <c r="N238" s="87">
        <v>270</v>
      </c>
      <c r="O238" s="4" t="str">
        <f t="shared" si="24"/>
        <v>šedá_plnovýsuv_121_270</v>
      </c>
      <c r="P238" s="64" t="str">
        <f t="shared" si="25"/>
        <v>548556</v>
      </c>
      <c r="Q238" t="str">
        <f t="shared" si="26"/>
        <v>K-StrongMini fiók 121/270mm, csillapított teljes kihúzású sín 30kg, szürke</v>
      </c>
    </row>
    <row r="239" spans="2:17" x14ac:dyDescent="0.25">
      <c r="B239" t="str">
        <f t="shared" si="23"/>
        <v>K-StrongMini fiók 121/300mm, csillapított részleges kihúzású sín 25kg, fehér</v>
      </c>
      <c r="C239" s="3" t="s">
        <v>1686</v>
      </c>
      <c r="D239" s="3" t="s">
        <v>1687</v>
      </c>
      <c r="E239" s="3" t="s">
        <v>1688</v>
      </c>
      <c r="F239" s="3" t="s">
        <v>1689</v>
      </c>
      <c r="G239" s="3" t="s">
        <v>1690</v>
      </c>
      <c r="H239" s="3" t="s">
        <v>1691</v>
      </c>
      <c r="I239" s="3" t="s">
        <v>1666</v>
      </c>
      <c r="K239" s="3" t="s">
        <v>1667</v>
      </c>
      <c r="L239" s="87" t="s">
        <v>101</v>
      </c>
      <c r="M239" s="87" t="s">
        <v>373</v>
      </c>
      <c r="N239" s="87">
        <v>300</v>
      </c>
      <c r="O239" s="4" t="str">
        <f t="shared" si="24"/>
        <v>bílá_částečný výsuv_121_300</v>
      </c>
      <c r="P239" s="64" t="str">
        <f t="shared" si="25"/>
        <v>548494</v>
      </c>
      <c r="Q239" t="str">
        <f t="shared" si="26"/>
        <v>K-StrongMini fiók 121/300mm, csillapított részleges kihúzású sín 25kg, fehér</v>
      </c>
    </row>
    <row r="240" spans="2:17" x14ac:dyDescent="0.25">
      <c r="B240" t="str">
        <f t="shared" si="23"/>
        <v>K-StrongMini fiók 121/300mm, csillapított részleges kihúzású sín 25kg, szürke</v>
      </c>
      <c r="C240" s="3" t="s">
        <v>1692</v>
      </c>
      <c r="D240" s="3" t="s">
        <v>1693</v>
      </c>
      <c r="E240" s="3" t="s">
        <v>1694</v>
      </c>
      <c r="F240" s="3" t="s">
        <v>1695</v>
      </c>
      <c r="G240" s="3" t="s">
        <v>1696</v>
      </c>
      <c r="H240" s="3" t="s">
        <v>1697</v>
      </c>
      <c r="I240" s="3" t="s">
        <v>1666</v>
      </c>
      <c r="K240" s="3" t="s">
        <v>1667</v>
      </c>
      <c r="L240" s="87" t="s">
        <v>109</v>
      </c>
      <c r="M240" s="87" t="s">
        <v>373</v>
      </c>
      <c r="N240" s="87">
        <v>300</v>
      </c>
      <c r="O240" s="4" t="str">
        <f t="shared" si="24"/>
        <v>šedá_částečný výsuv_121_300</v>
      </c>
      <c r="P240" s="64" t="str">
        <f t="shared" si="25"/>
        <v>548515</v>
      </c>
      <c r="Q240" t="str">
        <f t="shared" si="26"/>
        <v>K-StrongMini fiók 121/300mm, csillapított részleges kihúzású sín 25kg, szürke</v>
      </c>
    </row>
    <row r="241" spans="2:17" x14ac:dyDescent="0.25">
      <c r="B241" t="str">
        <f t="shared" si="23"/>
        <v>K-StrongMini fiók 121/300mm, csillapított teljes kihúzású sín 30kg, fehér</v>
      </c>
      <c r="C241" s="3" t="s">
        <v>1698</v>
      </c>
      <c r="D241" s="3" t="s">
        <v>1699</v>
      </c>
      <c r="E241" s="3" t="s">
        <v>1700</v>
      </c>
      <c r="F241" s="3" t="s">
        <v>1701</v>
      </c>
      <c r="G241" s="3" t="s">
        <v>1702</v>
      </c>
      <c r="H241" s="3" t="s">
        <v>1703</v>
      </c>
      <c r="I241" s="3" t="s">
        <v>1666</v>
      </c>
      <c r="K241" s="3" t="s">
        <v>1667</v>
      </c>
      <c r="L241" s="87" t="s">
        <v>101</v>
      </c>
      <c r="M241" s="87" t="s">
        <v>368</v>
      </c>
      <c r="N241" s="87">
        <v>300</v>
      </c>
      <c r="O241" s="4" t="str">
        <f t="shared" si="24"/>
        <v>bílá_plnovýsuv_121_300</v>
      </c>
      <c r="P241" s="64" t="str">
        <f t="shared" si="25"/>
        <v>548536</v>
      </c>
      <c r="Q241" t="str">
        <f t="shared" si="26"/>
        <v>K-StrongMini fiók 121/300mm, csillapított teljes kihúzású sín 30kg, fehér</v>
      </c>
    </row>
    <row r="242" spans="2:17" x14ac:dyDescent="0.25">
      <c r="B242" t="str">
        <f t="shared" si="23"/>
        <v>K-StrongMini fiók 121/300mm, csillapított teljes kihúzású sín 30kg, szürke</v>
      </c>
      <c r="C242" s="3" t="s">
        <v>1704</v>
      </c>
      <c r="D242" s="3" t="s">
        <v>1705</v>
      </c>
      <c r="E242" s="3" t="s">
        <v>1706</v>
      </c>
      <c r="F242" s="3" t="s">
        <v>1707</v>
      </c>
      <c r="G242" s="3" t="s">
        <v>1708</v>
      </c>
      <c r="H242" s="3" t="s">
        <v>1709</v>
      </c>
      <c r="I242" s="3" t="s">
        <v>1666</v>
      </c>
      <c r="K242" s="3" t="s">
        <v>1667</v>
      </c>
      <c r="L242" s="87" t="s">
        <v>109</v>
      </c>
      <c r="M242" s="87" t="s">
        <v>368</v>
      </c>
      <c r="N242" s="87">
        <v>300</v>
      </c>
      <c r="O242" s="4" t="str">
        <f t="shared" si="24"/>
        <v>šedá_plnovýsuv_121_300</v>
      </c>
      <c r="P242" s="64" t="str">
        <f t="shared" si="25"/>
        <v>548557</v>
      </c>
      <c r="Q242" t="str">
        <f t="shared" si="26"/>
        <v>K-StrongMini fiók 121/300mm, csillapított teljes kihúzású sín 30kg, szürke</v>
      </c>
    </row>
    <row r="243" spans="2:17" x14ac:dyDescent="0.25">
      <c r="B243" t="str">
        <f t="shared" si="23"/>
        <v>K-StrongMini fiók 121/350mm, csillapított részleges kihúzású sín 25kg, fehér</v>
      </c>
      <c r="C243" s="3" t="s">
        <v>1710</v>
      </c>
      <c r="D243" s="3" t="s">
        <v>1711</v>
      </c>
      <c r="E243" s="3" t="s">
        <v>1712</v>
      </c>
      <c r="F243" s="3" t="s">
        <v>1713</v>
      </c>
      <c r="G243" s="3" t="s">
        <v>1714</v>
      </c>
      <c r="H243" s="3" t="s">
        <v>1715</v>
      </c>
      <c r="I243" s="3" t="s">
        <v>1666</v>
      </c>
      <c r="K243" s="3" t="s">
        <v>1667</v>
      </c>
      <c r="L243" s="87" t="s">
        <v>101</v>
      </c>
      <c r="M243" s="87" t="s">
        <v>373</v>
      </c>
      <c r="N243" s="87">
        <v>350</v>
      </c>
      <c r="O243" s="4" t="str">
        <f t="shared" si="24"/>
        <v>bílá_částečný výsuv_121_350</v>
      </c>
      <c r="P243" s="64" t="str">
        <f t="shared" si="25"/>
        <v>548495</v>
      </c>
      <c r="Q243" t="str">
        <f t="shared" si="26"/>
        <v>K-StrongMini fiók 121/350mm, csillapított részleges kihúzású sín 25kg, fehér</v>
      </c>
    </row>
    <row r="244" spans="2:17" x14ac:dyDescent="0.25">
      <c r="B244" t="str">
        <f t="shared" si="23"/>
        <v>K-StrongMini fiók 121/350mm, csillapított részleges kihúzású sín  25kg, szürke</v>
      </c>
      <c r="C244" s="3" t="s">
        <v>1716</v>
      </c>
      <c r="D244" s="3" t="s">
        <v>1717</v>
      </c>
      <c r="E244" s="3" t="s">
        <v>1718</v>
      </c>
      <c r="F244" s="3" t="s">
        <v>1719</v>
      </c>
      <c r="G244" s="3" t="s">
        <v>1720</v>
      </c>
      <c r="H244" s="3" t="s">
        <v>1721</v>
      </c>
      <c r="I244" s="3" t="s">
        <v>1666</v>
      </c>
      <c r="K244" s="3" t="s">
        <v>1667</v>
      </c>
      <c r="L244" s="87" t="s">
        <v>109</v>
      </c>
      <c r="M244" s="87" t="s">
        <v>373</v>
      </c>
      <c r="N244" s="87">
        <v>350</v>
      </c>
      <c r="O244" s="4" t="str">
        <f t="shared" si="24"/>
        <v>šedá_částečný výsuv_121_350</v>
      </c>
      <c r="P244" s="64" t="str">
        <f t="shared" si="25"/>
        <v>548516</v>
      </c>
      <c r="Q244" t="str">
        <f t="shared" si="26"/>
        <v>K-StrongMini fiók 121/350mm, csillapított részleges kihúzású sín  25kg, szürke</v>
      </c>
    </row>
    <row r="245" spans="2:17" x14ac:dyDescent="0.25">
      <c r="B245" t="str">
        <f t="shared" si="23"/>
        <v>K-StrongMini fiók 121/350mm, csillapított teljes kihúzású sín 30kg, fehér</v>
      </c>
      <c r="C245" s="3" t="s">
        <v>1722</v>
      </c>
      <c r="D245" s="3" t="s">
        <v>1723</v>
      </c>
      <c r="E245" s="3" t="s">
        <v>1724</v>
      </c>
      <c r="F245" s="3" t="s">
        <v>1725</v>
      </c>
      <c r="G245" s="3" t="s">
        <v>1726</v>
      </c>
      <c r="H245" s="3" t="s">
        <v>1727</v>
      </c>
      <c r="I245" s="3" t="s">
        <v>1666</v>
      </c>
      <c r="K245" s="3" t="s">
        <v>1667</v>
      </c>
      <c r="L245" s="87" t="s">
        <v>101</v>
      </c>
      <c r="M245" s="87" t="s">
        <v>368</v>
      </c>
      <c r="N245" s="87">
        <v>350</v>
      </c>
      <c r="O245" s="4" t="str">
        <f t="shared" si="24"/>
        <v>bílá_plnovýsuv_121_350</v>
      </c>
      <c r="P245" s="64" t="str">
        <f t="shared" si="25"/>
        <v>548537</v>
      </c>
      <c r="Q245" t="str">
        <f t="shared" si="26"/>
        <v>K-StrongMini fiók 121/350mm, csillapított teljes kihúzású sín 30kg, fehér</v>
      </c>
    </row>
    <row r="246" spans="2:17" x14ac:dyDescent="0.25">
      <c r="B246" t="str">
        <f t="shared" si="23"/>
        <v>K-StrongMini fiók 121/350mm, csillapított teljes kihúzású sín 30kg, szürke</v>
      </c>
      <c r="C246" s="3" t="s">
        <v>1728</v>
      </c>
      <c r="D246" s="3" t="s">
        <v>1729</v>
      </c>
      <c r="E246" s="3" t="s">
        <v>1730</v>
      </c>
      <c r="F246" s="3" t="s">
        <v>1731</v>
      </c>
      <c r="G246" s="3" t="s">
        <v>1732</v>
      </c>
      <c r="H246" s="3" t="s">
        <v>1733</v>
      </c>
      <c r="I246" s="3" t="s">
        <v>1666</v>
      </c>
      <c r="K246" s="3" t="s">
        <v>1667</v>
      </c>
      <c r="L246" s="87" t="s">
        <v>109</v>
      </c>
      <c r="M246" s="87" t="s">
        <v>368</v>
      </c>
      <c r="N246" s="87">
        <v>350</v>
      </c>
      <c r="O246" s="4" t="str">
        <f t="shared" si="24"/>
        <v>šedá_plnovýsuv_121_350</v>
      </c>
      <c r="P246" s="64" t="str">
        <f t="shared" si="25"/>
        <v>548558</v>
      </c>
      <c r="Q246" t="str">
        <f t="shared" si="26"/>
        <v>K-StrongMini fiók 121/350mm, csillapított teljes kihúzású sín 30kg, szürke</v>
      </c>
    </row>
    <row r="247" spans="2:17" x14ac:dyDescent="0.25">
      <c r="B247" t="str">
        <f t="shared" si="23"/>
        <v>K-StrongMini fiók 121/400mm, csillapított részleges kihúzású sín 25kg, fehér</v>
      </c>
      <c r="C247" s="3" t="s">
        <v>1734</v>
      </c>
      <c r="D247" s="3" t="s">
        <v>1735</v>
      </c>
      <c r="E247" s="3" t="s">
        <v>1736</v>
      </c>
      <c r="F247" s="3" t="s">
        <v>1737</v>
      </c>
      <c r="G247" s="3" t="s">
        <v>1738</v>
      </c>
      <c r="H247" s="3" t="s">
        <v>1739</v>
      </c>
      <c r="I247" s="3" t="s">
        <v>1666</v>
      </c>
      <c r="K247" s="3" t="s">
        <v>1667</v>
      </c>
      <c r="L247" s="87" t="s">
        <v>101</v>
      </c>
      <c r="M247" s="87" t="s">
        <v>373</v>
      </c>
      <c r="N247" s="87">
        <v>400</v>
      </c>
      <c r="O247" s="4" t="str">
        <f t="shared" si="24"/>
        <v>bílá_částečný výsuv_121_400</v>
      </c>
      <c r="P247" s="64" t="str">
        <f t="shared" si="25"/>
        <v>548496</v>
      </c>
      <c r="Q247" t="str">
        <f t="shared" si="26"/>
        <v>K-StrongMini fiók 121/400mm, csillapított részleges kihúzású sín 25kg, fehér</v>
      </c>
    </row>
    <row r="248" spans="2:17" x14ac:dyDescent="0.25">
      <c r="B248" t="str">
        <f t="shared" si="23"/>
        <v>K-StrongMini fiók 121/400mm, csillapított részleges kihúzású sín 25kg, szürke</v>
      </c>
      <c r="C248" s="3" t="s">
        <v>1740</v>
      </c>
      <c r="D248" s="3" t="s">
        <v>1741</v>
      </c>
      <c r="E248" s="3" t="s">
        <v>1742</v>
      </c>
      <c r="F248" s="3" t="s">
        <v>1743</v>
      </c>
      <c r="G248" s="3" t="s">
        <v>1744</v>
      </c>
      <c r="H248" s="3" t="s">
        <v>1745</v>
      </c>
      <c r="I248" s="3" t="s">
        <v>1666</v>
      </c>
      <c r="K248" s="3" t="s">
        <v>1667</v>
      </c>
      <c r="L248" s="87" t="s">
        <v>109</v>
      </c>
      <c r="M248" s="87" t="s">
        <v>373</v>
      </c>
      <c r="N248" s="87">
        <v>400</v>
      </c>
      <c r="O248" s="4" t="str">
        <f t="shared" si="24"/>
        <v>šedá_částečný výsuv_121_400</v>
      </c>
      <c r="P248" s="64" t="str">
        <f t="shared" si="25"/>
        <v>548517</v>
      </c>
      <c r="Q248" t="str">
        <f t="shared" si="26"/>
        <v>K-StrongMini fiók 121/400mm, csillapított részleges kihúzású sín 25kg, szürke</v>
      </c>
    </row>
    <row r="249" spans="2:17" x14ac:dyDescent="0.25">
      <c r="B249" t="str">
        <f t="shared" si="23"/>
        <v>K-StrongMini fiók 121/400mm, csillapított teljes kihúzású sín 30kg, fehér</v>
      </c>
      <c r="C249" s="3" t="s">
        <v>1746</v>
      </c>
      <c r="D249" s="3" t="s">
        <v>1747</v>
      </c>
      <c r="E249" s="3" t="s">
        <v>1748</v>
      </c>
      <c r="F249" s="3" t="s">
        <v>1749</v>
      </c>
      <c r="G249" s="3" t="s">
        <v>1750</v>
      </c>
      <c r="H249" s="3" t="s">
        <v>1751</v>
      </c>
      <c r="I249" s="3" t="s">
        <v>1666</v>
      </c>
      <c r="K249" s="3" t="s">
        <v>1667</v>
      </c>
      <c r="L249" s="87" t="s">
        <v>101</v>
      </c>
      <c r="M249" s="87" t="s">
        <v>368</v>
      </c>
      <c r="N249" s="87">
        <v>400</v>
      </c>
      <c r="O249" s="4" t="str">
        <f t="shared" si="24"/>
        <v>bílá_plnovýsuv_121_400</v>
      </c>
      <c r="P249" s="64" t="str">
        <f t="shared" si="25"/>
        <v>548538</v>
      </c>
      <c r="Q249" t="str">
        <f t="shared" si="26"/>
        <v>K-StrongMini fiók 121/400mm, csillapított teljes kihúzású sín 30kg, fehér</v>
      </c>
    </row>
    <row r="250" spans="2:17" x14ac:dyDescent="0.25">
      <c r="B250" t="str">
        <f t="shared" si="23"/>
        <v>K-StrongMini fiók 121/400mm, csillapított teljes kihúzású sín 30kg, szürke</v>
      </c>
      <c r="C250" s="3" t="s">
        <v>1752</v>
      </c>
      <c r="D250" s="3" t="s">
        <v>1753</v>
      </c>
      <c r="E250" s="3" t="s">
        <v>1754</v>
      </c>
      <c r="F250" s="3" t="s">
        <v>1755</v>
      </c>
      <c r="G250" s="3" t="s">
        <v>1756</v>
      </c>
      <c r="H250" s="3" t="s">
        <v>1757</v>
      </c>
      <c r="I250" s="3" t="s">
        <v>1666</v>
      </c>
      <c r="K250" s="3" t="s">
        <v>1667</v>
      </c>
      <c r="L250" s="87" t="s">
        <v>109</v>
      </c>
      <c r="M250" s="87" t="s">
        <v>368</v>
      </c>
      <c r="N250" s="87">
        <v>400</v>
      </c>
      <c r="O250" s="4" t="str">
        <f t="shared" si="24"/>
        <v>šedá_plnovýsuv_121_400</v>
      </c>
      <c r="P250" s="64" t="str">
        <f t="shared" si="25"/>
        <v>548559</v>
      </c>
      <c r="Q250" t="str">
        <f t="shared" si="26"/>
        <v>K-StrongMini fiók 121/400mm, csillapított teljes kihúzású sín 30kg, szürke</v>
      </c>
    </row>
    <row r="251" spans="2:17" x14ac:dyDescent="0.25">
      <c r="B251" t="str">
        <f t="shared" si="23"/>
        <v>K-StrongMini fiók 121/450 mm, csillapított részleges kihúzású sín 25 kg, fehér</v>
      </c>
      <c r="C251" s="3" t="s">
        <v>1758</v>
      </c>
      <c r="D251" s="3" t="s">
        <v>1759</v>
      </c>
      <c r="E251" s="3" t="s">
        <v>1760</v>
      </c>
      <c r="F251" s="3" t="s">
        <v>1761</v>
      </c>
      <c r="G251" s="3" t="s">
        <v>1762</v>
      </c>
      <c r="H251" s="3" t="s">
        <v>1763</v>
      </c>
      <c r="I251" s="3" t="s">
        <v>1666</v>
      </c>
      <c r="K251" s="3" t="s">
        <v>1667</v>
      </c>
      <c r="L251" s="87" t="s">
        <v>101</v>
      </c>
      <c r="M251" s="87" t="s">
        <v>373</v>
      </c>
      <c r="N251" s="87">
        <v>450</v>
      </c>
      <c r="O251" s="4" t="str">
        <f t="shared" si="24"/>
        <v>bílá_částečný výsuv_121_450</v>
      </c>
      <c r="P251" s="64" t="str">
        <f t="shared" si="25"/>
        <v>548497</v>
      </c>
      <c r="Q251" t="str">
        <f t="shared" si="26"/>
        <v>K-StrongMini fiók 121/450 mm, csillapított részleges kihúzású sín 25 kg, fehér</v>
      </c>
    </row>
    <row r="252" spans="2:17" x14ac:dyDescent="0.25">
      <c r="B252" t="str">
        <f t="shared" si="23"/>
        <v>K-StrongMini fiók 121/450mm, csillapított részleges kihúzású sín 25kg, szürke</v>
      </c>
      <c r="C252" s="3" t="s">
        <v>1764</v>
      </c>
      <c r="D252" s="3" t="s">
        <v>1765</v>
      </c>
      <c r="E252" s="3" t="s">
        <v>1766</v>
      </c>
      <c r="F252" s="3" t="s">
        <v>1767</v>
      </c>
      <c r="G252" s="3" t="s">
        <v>1768</v>
      </c>
      <c r="H252" s="3" t="s">
        <v>1769</v>
      </c>
      <c r="I252" s="3" t="s">
        <v>1666</v>
      </c>
      <c r="K252" s="3" t="s">
        <v>1667</v>
      </c>
      <c r="L252" s="87" t="s">
        <v>109</v>
      </c>
      <c r="M252" s="87" t="s">
        <v>373</v>
      </c>
      <c r="N252" s="87">
        <v>450</v>
      </c>
      <c r="O252" s="4" t="str">
        <f t="shared" si="24"/>
        <v>šedá_částečný výsuv_121_450</v>
      </c>
      <c r="P252" s="64" t="str">
        <f t="shared" si="25"/>
        <v>548518</v>
      </c>
      <c r="Q252" t="str">
        <f t="shared" si="26"/>
        <v>K-StrongMini fiók 121/450mm, csillapított részleges kihúzású sín 25kg, szürke</v>
      </c>
    </row>
    <row r="253" spans="2:17" x14ac:dyDescent="0.25">
      <c r="B253" t="str">
        <f t="shared" si="23"/>
        <v>K-StrongMini fiók 121/450mm, csillapított teljes kihúzású sín 30kg, fehér</v>
      </c>
      <c r="C253" s="3" t="s">
        <v>1770</v>
      </c>
      <c r="D253" s="3" t="s">
        <v>1771</v>
      </c>
      <c r="E253" s="3" t="s">
        <v>1772</v>
      </c>
      <c r="F253" s="3" t="s">
        <v>1773</v>
      </c>
      <c r="G253" s="3" t="s">
        <v>1774</v>
      </c>
      <c r="H253" s="3" t="s">
        <v>1775</v>
      </c>
      <c r="I253" s="3" t="s">
        <v>1666</v>
      </c>
      <c r="K253" s="3" t="s">
        <v>1667</v>
      </c>
      <c r="L253" s="87" t="s">
        <v>101</v>
      </c>
      <c r="M253" s="87" t="s">
        <v>368</v>
      </c>
      <c r="N253" s="87">
        <v>450</v>
      </c>
      <c r="O253" s="4" t="str">
        <f t="shared" si="24"/>
        <v>bílá_plnovýsuv_121_450</v>
      </c>
      <c r="P253" s="64" t="str">
        <f t="shared" si="25"/>
        <v>548539</v>
      </c>
      <c r="Q253" t="str">
        <f t="shared" si="26"/>
        <v>K-StrongMini fiók 121/450mm, csillapított teljes kihúzású sín 30kg, fehér</v>
      </c>
    </row>
    <row r="254" spans="2:17" x14ac:dyDescent="0.25">
      <c r="B254" t="str">
        <f t="shared" si="23"/>
        <v>K-StrongMini fiók 121/450mm, csillapított teljes kihúzású sín 30kg, szürke</v>
      </c>
      <c r="C254" s="3" t="s">
        <v>1776</v>
      </c>
      <c r="D254" s="3" t="s">
        <v>1777</v>
      </c>
      <c r="E254" s="3" t="s">
        <v>1778</v>
      </c>
      <c r="F254" s="3" t="s">
        <v>1779</v>
      </c>
      <c r="G254" s="3" t="s">
        <v>1780</v>
      </c>
      <c r="H254" s="3" t="s">
        <v>1781</v>
      </c>
      <c r="I254" s="3" t="s">
        <v>1666</v>
      </c>
      <c r="K254" s="3" t="s">
        <v>1667</v>
      </c>
      <c r="L254" s="87" t="s">
        <v>109</v>
      </c>
      <c r="M254" s="87" t="s">
        <v>368</v>
      </c>
      <c r="N254" s="87">
        <v>450</v>
      </c>
      <c r="O254" s="4" t="str">
        <f t="shared" si="24"/>
        <v>šedá_plnovýsuv_121_450</v>
      </c>
      <c r="P254" s="64" t="str">
        <f t="shared" si="25"/>
        <v>548560</v>
      </c>
      <c r="Q254" t="str">
        <f t="shared" si="26"/>
        <v>K-StrongMini fiók 121/450mm, csillapított teljes kihúzású sín 30kg, szürke</v>
      </c>
    </row>
    <row r="255" spans="2:17" x14ac:dyDescent="0.25">
      <c r="B255" t="str">
        <f t="shared" si="23"/>
        <v>K-StrongMini fiók 121/500mm, csillapított részleges kihúzású sín 25kg, fehér</v>
      </c>
      <c r="C255" s="3" t="s">
        <v>1782</v>
      </c>
      <c r="D255" s="3" t="s">
        <v>1783</v>
      </c>
      <c r="E255" s="3" t="s">
        <v>1784</v>
      </c>
      <c r="F255" s="3" t="s">
        <v>1785</v>
      </c>
      <c r="G255" s="3" t="s">
        <v>1786</v>
      </c>
      <c r="H255" s="3" t="s">
        <v>1787</v>
      </c>
      <c r="I255" s="3" t="s">
        <v>1666</v>
      </c>
      <c r="K255" s="3" t="s">
        <v>1667</v>
      </c>
      <c r="L255" s="87" t="s">
        <v>101</v>
      </c>
      <c r="M255" s="87" t="s">
        <v>373</v>
      </c>
      <c r="N255" s="87">
        <v>500</v>
      </c>
      <c r="O255" s="4" t="str">
        <f t="shared" si="24"/>
        <v>bílá_částečný výsuv_121_500</v>
      </c>
      <c r="P255" s="64" t="str">
        <f t="shared" si="25"/>
        <v>548498</v>
      </c>
      <c r="Q255" t="str">
        <f t="shared" si="26"/>
        <v>K-StrongMini fiók 121/500mm, csillapított részleges kihúzású sín 25kg, fehér</v>
      </c>
    </row>
    <row r="256" spans="2:17" x14ac:dyDescent="0.25">
      <c r="B256" t="str">
        <f t="shared" si="23"/>
        <v>K-StrongMini fiók 121/500mm, csillapított részleges kihúzású sín 25kg, szürke</v>
      </c>
      <c r="C256" s="3" t="s">
        <v>1788</v>
      </c>
      <c r="D256" s="3" t="s">
        <v>1789</v>
      </c>
      <c r="E256" s="3" t="s">
        <v>1790</v>
      </c>
      <c r="F256" s="3" t="s">
        <v>1791</v>
      </c>
      <c r="G256" s="3" t="s">
        <v>1792</v>
      </c>
      <c r="H256" s="3" t="s">
        <v>1793</v>
      </c>
      <c r="I256" s="3" t="s">
        <v>1666</v>
      </c>
      <c r="K256" s="3" t="s">
        <v>1667</v>
      </c>
      <c r="L256" s="87" t="s">
        <v>109</v>
      </c>
      <c r="M256" s="87" t="s">
        <v>373</v>
      </c>
      <c r="N256" s="87">
        <v>500</v>
      </c>
      <c r="O256" s="4" t="str">
        <f t="shared" si="24"/>
        <v>šedá_částečný výsuv_121_500</v>
      </c>
      <c r="P256" s="64" t="str">
        <f t="shared" si="25"/>
        <v>548519</v>
      </c>
      <c r="Q256" t="str">
        <f t="shared" si="26"/>
        <v>K-StrongMini fiók 121/500mm, csillapított részleges kihúzású sín 25kg, szürke</v>
      </c>
    </row>
    <row r="257" spans="2:17" x14ac:dyDescent="0.25">
      <c r="B257" t="str">
        <f t="shared" si="23"/>
        <v>K-StrongMini fiók 121/500mm, csillapított teljes kihúzású sín 30kg, fehér</v>
      </c>
      <c r="C257" s="3" t="s">
        <v>1794</v>
      </c>
      <c r="D257" s="3" t="s">
        <v>1795</v>
      </c>
      <c r="E257" s="3" t="s">
        <v>1796</v>
      </c>
      <c r="F257" s="3" t="s">
        <v>1797</v>
      </c>
      <c r="G257" s="3" t="s">
        <v>1798</v>
      </c>
      <c r="H257" s="3" t="s">
        <v>1799</v>
      </c>
      <c r="I257" s="3" t="s">
        <v>1666</v>
      </c>
      <c r="K257" s="3" t="s">
        <v>1667</v>
      </c>
      <c r="L257" s="87" t="s">
        <v>101</v>
      </c>
      <c r="M257" s="87" t="s">
        <v>368</v>
      </c>
      <c r="N257" s="87">
        <v>500</v>
      </c>
      <c r="O257" s="4" t="str">
        <f t="shared" si="24"/>
        <v>bílá_plnovýsuv_121_500</v>
      </c>
      <c r="P257" s="64" t="str">
        <f t="shared" si="25"/>
        <v>548540</v>
      </c>
      <c r="Q257" t="str">
        <f t="shared" si="26"/>
        <v>K-StrongMini fiók 121/500mm, csillapított teljes kihúzású sín 30kg, fehér</v>
      </c>
    </row>
    <row r="258" spans="2:17" x14ac:dyDescent="0.25">
      <c r="B258" t="str">
        <f t="shared" si="23"/>
        <v>K-StrongMini fiók 121/500mm, csillapított teljes kihúzású sín 30kg, szürke</v>
      </c>
      <c r="C258" s="3" t="s">
        <v>1800</v>
      </c>
      <c r="D258" s="3" t="s">
        <v>1801</v>
      </c>
      <c r="E258" s="3" t="s">
        <v>1802</v>
      </c>
      <c r="F258" s="3" t="s">
        <v>1803</v>
      </c>
      <c r="G258" s="3" t="s">
        <v>1804</v>
      </c>
      <c r="H258" s="3" t="s">
        <v>1805</v>
      </c>
      <c r="I258" s="3" t="s">
        <v>1666</v>
      </c>
      <c r="K258" s="3" t="s">
        <v>1667</v>
      </c>
      <c r="L258" s="87" t="s">
        <v>109</v>
      </c>
      <c r="M258" s="87" t="s">
        <v>368</v>
      </c>
      <c r="N258" s="87">
        <v>500</v>
      </c>
      <c r="O258" s="4" t="str">
        <f t="shared" si="24"/>
        <v>šedá_plnovýsuv_121_500</v>
      </c>
      <c r="P258" s="64" t="str">
        <f t="shared" si="25"/>
        <v>548561</v>
      </c>
      <c r="Q258" t="str">
        <f t="shared" si="26"/>
        <v>K-StrongMini fiók 121/500mm, csillapított teljes kihúzású sín 30kg, szürke</v>
      </c>
    </row>
    <row r="259" spans="2:17" x14ac:dyDescent="0.25">
      <c r="B259" t="str">
        <f t="shared" si="23"/>
        <v>K-StrongMini fiók 121/550mm, csillapított részleges kihúzású sín 25kg, fehér</v>
      </c>
      <c r="C259" s="3" t="s">
        <v>1806</v>
      </c>
      <c r="D259" s="3" t="s">
        <v>1807</v>
      </c>
      <c r="E259" s="3" t="s">
        <v>1808</v>
      </c>
      <c r="F259" s="3" t="s">
        <v>1809</v>
      </c>
      <c r="G259" s="3" t="s">
        <v>1810</v>
      </c>
      <c r="H259" s="3" t="s">
        <v>1811</v>
      </c>
      <c r="I259" s="3" t="s">
        <v>1666</v>
      </c>
      <c r="K259" s="3" t="s">
        <v>1667</v>
      </c>
      <c r="L259" s="87" t="s">
        <v>101</v>
      </c>
      <c r="M259" s="87" t="s">
        <v>373</v>
      </c>
      <c r="N259" s="87">
        <v>550</v>
      </c>
      <c r="O259" s="4" t="str">
        <f t="shared" si="24"/>
        <v>bílá_částečný výsuv_121_550</v>
      </c>
      <c r="P259" s="64" t="str">
        <f t="shared" si="25"/>
        <v>548499</v>
      </c>
      <c r="Q259" t="str">
        <f t="shared" si="26"/>
        <v>K-StrongMini fiók 121/550mm, csillapított részleges kihúzású sín 25kg, fehér</v>
      </c>
    </row>
    <row r="260" spans="2:17" x14ac:dyDescent="0.25">
      <c r="B260" t="str">
        <f t="shared" si="23"/>
        <v>K-StrongMini fiók 121/550mm, csillapított részleges kihúzasú sín 25kg, szürke</v>
      </c>
      <c r="C260" s="3" t="s">
        <v>1812</v>
      </c>
      <c r="D260" s="3" t="s">
        <v>1813</v>
      </c>
      <c r="E260" s="3" t="s">
        <v>1814</v>
      </c>
      <c r="F260" s="3" t="s">
        <v>1815</v>
      </c>
      <c r="G260" s="3" t="s">
        <v>1816</v>
      </c>
      <c r="H260" s="3" t="s">
        <v>1817</v>
      </c>
      <c r="I260" s="3" t="s">
        <v>1666</v>
      </c>
      <c r="K260" s="3" t="s">
        <v>1667</v>
      </c>
      <c r="L260" s="87" t="s">
        <v>109</v>
      </c>
      <c r="M260" s="87" t="s">
        <v>373</v>
      </c>
      <c r="N260" s="87">
        <v>550</v>
      </c>
      <c r="O260" s="4" t="str">
        <f t="shared" si="24"/>
        <v>šedá_částečný výsuv_121_550</v>
      </c>
      <c r="P260" s="64" t="str">
        <f t="shared" si="25"/>
        <v>548520</v>
      </c>
      <c r="Q260" t="str">
        <f t="shared" si="26"/>
        <v>K-StrongMini fiók 121/550mm, csillapított részleges kihúzasú sín 25kg, szürke</v>
      </c>
    </row>
    <row r="261" spans="2:17" x14ac:dyDescent="0.25">
      <c r="B261" t="str">
        <f t="shared" si="23"/>
        <v>K-StrongMini fiók 121/550mm, csillapított teljes kihúzású sín 30kg, fehér</v>
      </c>
      <c r="C261" s="3" t="s">
        <v>1818</v>
      </c>
      <c r="D261" s="3" t="s">
        <v>1819</v>
      </c>
      <c r="E261" s="3" t="s">
        <v>1820</v>
      </c>
      <c r="F261" s="3" t="s">
        <v>1821</v>
      </c>
      <c r="G261" s="3" t="s">
        <v>1822</v>
      </c>
      <c r="H261" s="3" t="s">
        <v>1823</v>
      </c>
      <c r="I261" s="3" t="s">
        <v>1666</v>
      </c>
      <c r="K261" s="3" t="s">
        <v>1667</v>
      </c>
      <c r="L261" s="87" t="s">
        <v>101</v>
      </c>
      <c r="M261" s="87" t="s">
        <v>368</v>
      </c>
      <c r="N261" s="87">
        <v>550</v>
      </c>
      <c r="O261" s="4" t="str">
        <f t="shared" si="24"/>
        <v>bílá_plnovýsuv_121_550</v>
      </c>
      <c r="P261" s="64" t="str">
        <f t="shared" si="25"/>
        <v>548541</v>
      </c>
      <c r="Q261" t="str">
        <f t="shared" si="26"/>
        <v>K-StrongMini fiók 121/550mm, csillapított teljes kihúzású sín 30kg, fehér</v>
      </c>
    </row>
    <row r="262" spans="2:17" x14ac:dyDescent="0.25">
      <c r="B262" t="str">
        <f t="shared" si="23"/>
        <v>K-StrongMini fiók 121/550mm, csillapított teljes kihúzású sín 30kg, szürke</v>
      </c>
      <c r="C262" s="3" t="s">
        <v>1824</v>
      </c>
      <c r="D262" s="3" t="s">
        <v>1825</v>
      </c>
      <c r="E262" s="3" t="s">
        <v>1826</v>
      </c>
      <c r="F262" s="3" t="s">
        <v>1827</v>
      </c>
      <c r="G262" s="3" t="s">
        <v>1828</v>
      </c>
      <c r="H262" s="3" t="s">
        <v>1829</v>
      </c>
      <c r="I262" s="3" t="s">
        <v>1666</v>
      </c>
      <c r="K262" s="3" t="s">
        <v>1667</v>
      </c>
      <c r="L262" s="87" t="s">
        <v>109</v>
      </c>
      <c r="M262" s="87" t="s">
        <v>368</v>
      </c>
      <c r="N262" s="87">
        <v>550</v>
      </c>
      <c r="O262" s="4" t="str">
        <f t="shared" si="24"/>
        <v>šedá_plnovýsuv_121_550</v>
      </c>
      <c r="P262" s="64" t="str">
        <f t="shared" si="25"/>
        <v>548562</v>
      </c>
      <c r="Q262" t="str">
        <f t="shared" si="26"/>
        <v>K-StrongMini fiók 121/550mm, csillapított teljes kihúzású sín 30kg, szürke</v>
      </c>
    </row>
    <row r="263" spans="2:17" x14ac:dyDescent="0.25">
      <c r="B263" t="str">
        <f t="shared" si="23"/>
        <v>K-StrongMini fiók 185/270mm, csillapított részleges kihúzású sín 25kg, fehér</v>
      </c>
      <c r="C263" s="3" t="s">
        <v>1830</v>
      </c>
      <c r="D263" s="3" t="s">
        <v>1831</v>
      </c>
      <c r="E263" s="3" t="s">
        <v>1832</v>
      </c>
      <c r="F263" s="3" t="s">
        <v>1833</v>
      </c>
      <c r="G263" s="3" t="s">
        <v>1834</v>
      </c>
      <c r="H263" s="3" t="s">
        <v>1835</v>
      </c>
      <c r="I263" s="3" t="s">
        <v>1666</v>
      </c>
      <c r="K263" s="3" t="s">
        <v>1836</v>
      </c>
      <c r="L263" s="87" t="s">
        <v>101</v>
      </c>
      <c r="M263" s="87" t="s">
        <v>373</v>
      </c>
      <c r="N263" s="87">
        <v>270</v>
      </c>
      <c r="O263" s="4" t="str">
        <f t="shared" si="24"/>
        <v>bílá_částečný výsuv_185_270</v>
      </c>
      <c r="P263" s="64" t="str">
        <f t="shared" si="25"/>
        <v>548500</v>
      </c>
      <c r="Q263" t="str">
        <f t="shared" si="26"/>
        <v>K-StrongMini fiók 185/270mm, csillapított részleges kihúzású sín 25kg, fehér</v>
      </c>
    </row>
    <row r="264" spans="2:17" x14ac:dyDescent="0.25">
      <c r="B264" t="str">
        <f t="shared" si="23"/>
        <v>K-StrongMini fiók 185/270mm, csillapított részleges kihúzású sín 25kg, szürke</v>
      </c>
      <c r="C264" s="3" t="s">
        <v>1837</v>
      </c>
      <c r="D264" s="3" t="s">
        <v>1838</v>
      </c>
      <c r="E264" s="3" t="s">
        <v>1839</v>
      </c>
      <c r="F264" s="3" t="s">
        <v>1840</v>
      </c>
      <c r="G264" s="3" t="s">
        <v>1841</v>
      </c>
      <c r="H264" s="3" t="s">
        <v>1842</v>
      </c>
      <c r="I264" s="3" t="s">
        <v>1666</v>
      </c>
      <c r="K264" s="3" t="s">
        <v>1836</v>
      </c>
      <c r="L264" s="87" t="s">
        <v>109</v>
      </c>
      <c r="M264" s="87" t="s">
        <v>373</v>
      </c>
      <c r="N264" s="87">
        <v>270</v>
      </c>
      <c r="O264" s="4" t="str">
        <f t="shared" si="24"/>
        <v>šedá_částečný výsuv_185_270</v>
      </c>
      <c r="P264" s="64" t="str">
        <f t="shared" si="25"/>
        <v>548521</v>
      </c>
      <c r="Q264" t="str">
        <f t="shared" si="26"/>
        <v>K-StrongMini fiók 185/270mm, csillapított részleges kihúzású sín 25kg, szürke</v>
      </c>
    </row>
    <row r="265" spans="2:17" x14ac:dyDescent="0.25">
      <c r="B265" t="str">
        <f t="shared" si="23"/>
        <v>K-StrongMini fiók 185/270mm, csillapított teljes kihúzású sín 30kg, fehér</v>
      </c>
      <c r="C265" s="3" t="s">
        <v>1843</v>
      </c>
      <c r="D265" s="3" t="s">
        <v>1844</v>
      </c>
      <c r="E265" s="3" t="s">
        <v>1845</v>
      </c>
      <c r="F265" s="3" t="s">
        <v>1846</v>
      </c>
      <c r="G265" s="3" t="s">
        <v>1847</v>
      </c>
      <c r="H265" s="3" t="s">
        <v>1848</v>
      </c>
      <c r="I265" s="3" t="s">
        <v>1666</v>
      </c>
      <c r="K265" s="3" t="s">
        <v>1836</v>
      </c>
      <c r="L265" s="87" t="s">
        <v>101</v>
      </c>
      <c r="M265" s="87" t="s">
        <v>368</v>
      </c>
      <c r="N265" s="87">
        <v>270</v>
      </c>
      <c r="O265" s="4" t="str">
        <f t="shared" si="24"/>
        <v>bílá_plnovýsuv_185_270</v>
      </c>
      <c r="P265" s="64" t="str">
        <f t="shared" si="25"/>
        <v>548542</v>
      </c>
      <c r="Q265" t="str">
        <f t="shared" si="26"/>
        <v>K-StrongMini fiók 185/270mm, csillapított teljes kihúzású sín 30kg, fehér</v>
      </c>
    </row>
    <row r="266" spans="2:17" x14ac:dyDescent="0.25">
      <c r="B266" t="str">
        <f t="shared" si="23"/>
        <v>K-StrongMini fiók 185/270mm, csillapított teljes kihúzású sín 30kg, szürke</v>
      </c>
      <c r="C266" s="3" t="s">
        <v>1849</v>
      </c>
      <c r="D266" s="3" t="s">
        <v>1850</v>
      </c>
      <c r="E266" s="3" t="s">
        <v>1851</v>
      </c>
      <c r="F266" s="3" t="s">
        <v>1852</v>
      </c>
      <c r="G266" s="3" t="s">
        <v>1853</v>
      </c>
      <c r="H266" s="3" t="s">
        <v>1854</v>
      </c>
      <c r="I266" s="3" t="s">
        <v>1666</v>
      </c>
      <c r="K266" s="3" t="s">
        <v>1836</v>
      </c>
      <c r="L266" s="87" t="s">
        <v>109</v>
      </c>
      <c r="M266" s="87" t="s">
        <v>368</v>
      </c>
      <c r="N266" s="87">
        <v>270</v>
      </c>
      <c r="O266" s="4" t="str">
        <f t="shared" si="24"/>
        <v>šedá_plnovýsuv_185_270</v>
      </c>
      <c r="P266" s="64" t="str">
        <f t="shared" si="25"/>
        <v>548563</v>
      </c>
      <c r="Q266" t="str">
        <f t="shared" si="26"/>
        <v>K-StrongMini fiók 185/270mm, csillapított teljes kihúzású sín 30kg, szürke</v>
      </c>
    </row>
    <row r="267" spans="2:17" x14ac:dyDescent="0.25">
      <c r="B267" t="str">
        <f t="shared" ref="B267:B298" si="27">IF($D$1=1,D:D,IF($D$1=2,E:E,IF($D$1=3,F:F,IF($D$1=4,G:G,IF($D$1=5,H:H)))))</f>
        <v>K-StrongMini fiók 185/300mm, csillapított részleges kihúzású sín 25kg, fehér</v>
      </c>
      <c r="C267" s="3" t="s">
        <v>1855</v>
      </c>
      <c r="D267" s="3" t="s">
        <v>1856</v>
      </c>
      <c r="E267" s="3" t="s">
        <v>1857</v>
      </c>
      <c r="F267" s="3" t="s">
        <v>1858</v>
      </c>
      <c r="G267" s="3" t="s">
        <v>1859</v>
      </c>
      <c r="H267" s="3" t="s">
        <v>1860</v>
      </c>
      <c r="I267" s="3" t="s">
        <v>1666</v>
      </c>
      <c r="K267" s="3" t="s">
        <v>1836</v>
      </c>
      <c r="L267" s="87" t="s">
        <v>101</v>
      </c>
      <c r="M267" s="87" t="s">
        <v>373</v>
      </c>
      <c r="N267" s="87">
        <v>300</v>
      </c>
      <c r="O267" s="4" t="str">
        <f t="shared" si="24"/>
        <v>bílá_částečný výsuv_185_300</v>
      </c>
      <c r="P267" s="64" t="str">
        <f t="shared" si="25"/>
        <v>548501</v>
      </c>
      <c r="Q267" t="str">
        <f t="shared" si="26"/>
        <v>K-StrongMini fiók 185/300mm, csillapított részleges kihúzású sín 25kg, fehér</v>
      </c>
    </row>
    <row r="268" spans="2:17" x14ac:dyDescent="0.25">
      <c r="B268" t="str">
        <f t="shared" si="27"/>
        <v>K-StrongMini fiók 185/300mm, csillapított részleges kihúzású sín 25kg, szürke</v>
      </c>
      <c r="C268" s="3" t="s">
        <v>1861</v>
      </c>
      <c r="D268" s="3" t="s">
        <v>1862</v>
      </c>
      <c r="E268" s="3" t="s">
        <v>1863</v>
      </c>
      <c r="F268" s="3" t="s">
        <v>1864</v>
      </c>
      <c r="G268" s="3" t="s">
        <v>1865</v>
      </c>
      <c r="H268" s="3" t="s">
        <v>1866</v>
      </c>
      <c r="I268" s="3" t="s">
        <v>1666</v>
      </c>
      <c r="K268" s="3" t="s">
        <v>1836</v>
      </c>
      <c r="L268" s="87" t="s">
        <v>109</v>
      </c>
      <c r="M268" s="87" t="s">
        <v>373</v>
      </c>
      <c r="N268" s="87">
        <v>300</v>
      </c>
      <c r="O268" s="4" t="str">
        <f t="shared" si="24"/>
        <v>šedá_částečný výsuv_185_300</v>
      </c>
      <c r="P268" s="64" t="str">
        <f t="shared" si="25"/>
        <v>548522</v>
      </c>
      <c r="Q268" t="str">
        <f t="shared" si="26"/>
        <v>K-StrongMini fiók 185/300mm, csillapított részleges kihúzású sín 25kg, szürke</v>
      </c>
    </row>
    <row r="269" spans="2:17" x14ac:dyDescent="0.25">
      <c r="B269" t="str">
        <f t="shared" si="27"/>
        <v>K-StrongMini fiók 185/300mm, csillapított teljes kihúzású sín 30kg, fehér</v>
      </c>
      <c r="C269" s="3" t="s">
        <v>1867</v>
      </c>
      <c r="D269" s="3" t="s">
        <v>1868</v>
      </c>
      <c r="E269" s="3" t="s">
        <v>1869</v>
      </c>
      <c r="F269" s="3" t="s">
        <v>1870</v>
      </c>
      <c r="G269" s="3" t="s">
        <v>1871</v>
      </c>
      <c r="H269" s="3" t="s">
        <v>1872</v>
      </c>
      <c r="I269" s="3" t="s">
        <v>1666</v>
      </c>
      <c r="K269" s="3" t="s">
        <v>1836</v>
      </c>
      <c r="L269" s="87" t="s">
        <v>101</v>
      </c>
      <c r="M269" s="87" t="s">
        <v>368</v>
      </c>
      <c r="N269" s="87">
        <v>300</v>
      </c>
      <c r="O269" s="4" t="str">
        <f t="shared" si="24"/>
        <v>bílá_plnovýsuv_185_300</v>
      </c>
      <c r="P269" s="64" t="str">
        <f t="shared" si="25"/>
        <v>548543</v>
      </c>
      <c r="Q269" t="str">
        <f t="shared" si="26"/>
        <v>K-StrongMini fiók 185/300mm, csillapított teljes kihúzású sín 30kg, fehér</v>
      </c>
    </row>
    <row r="270" spans="2:17" x14ac:dyDescent="0.25">
      <c r="B270" t="str">
        <f t="shared" si="27"/>
        <v>K-StrongMini fiók 185/300mm, csillapított teljes kihúzású sín 30kg, szürke</v>
      </c>
      <c r="C270" s="3" t="s">
        <v>1873</v>
      </c>
      <c r="D270" s="3" t="s">
        <v>1874</v>
      </c>
      <c r="E270" s="3" t="s">
        <v>1875</v>
      </c>
      <c r="F270" s="3" t="s">
        <v>1876</v>
      </c>
      <c r="G270" s="3" t="s">
        <v>1877</v>
      </c>
      <c r="H270" s="3" t="s">
        <v>1878</v>
      </c>
      <c r="I270" s="3" t="s">
        <v>1666</v>
      </c>
      <c r="K270" s="3" t="s">
        <v>1836</v>
      </c>
      <c r="L270" s="87" t="s">
        <v>109</v>
      </c>
      <c r="M270" s="87" t="s">
        <v>368</v>
      </c>
      <c r="N270" s="87">
        <v>300</v>
      </c>
      <c r="O270" s="4" t="str">
        <f t="shared" si="24"/>
        <v>šedá_plnovýsuv_185_300</v>
      </c>
      <c r="P270" s="64" t="str">
        <f t="shared" si="25"/>
        <v>548564</v>
      </c>
      <c r="Q270" t="str">
        <f t="shared" si="26"/>
        <v>K-StrongMini fiók 185/300mm, csillapított teljes kihúzású sín 30kg, szürke</v>
      </c>
    </row>
    <row r="271" spans="2:17" x14ac:dyDescent="0.25">
      <c r="B271" t="str">
        <f t="shared" si="27"/>
        <v>K-StrongMini fiók 185/350mm, csillapított részleges kihúzású sín 25kg, fehér</v>
      </c>
      <c r="C271" s="3" t="s">
        <v>1879</v>
      </c>
      <c r="D271" s="3" t="s">
        <v>1880</v>
      </c>
      <c r="E271" s="3" t="s">
        <v>1881</v>
      </c>
      <c r="F271" s="3" t="s">
        <v>1882</v>
      </c>
      <c r="G271" s="3" t="s">
        <v>1883</v>
      </c>
      <c r="H271" s="3" t="s">
        <v>1884</v>
      </c>
      <c r="I271" s="3" t="s">
        <v>1666</v>
      </c>
      <c r="K271" s="3" t="s">
        <v>1836</v>
      </c>
      <c r="L271" s="87" t="s">
        <v>101</v>
      </c>
      <c r="M271" s="87" t="s">
        <v>373</v>
      </c>
      <c r="N271" s="87">
        <v>350</v>
      </c>
      <c r="O271" s="4" t="str">
        <f t="shared" si="24"/>
        <v>bílá_částečný výsuv_185_350</v>
      </c>
      <c r="P271" s="64" t="str">
        <f t="shared" si="25"/>
        <v>548502</v>
      </c>
      <c r="Q271" t="str">
        <f t="shared" si="26"/>
        <v>K-StrongMini fiók 185/350mm, csillapított részleges kihúzású sín 25kg, fehér</v>
      </c>
    </row>
    <row r="272" spans="2:17" x14ac:dyDescent="0.25">
      <c r="B272" t="str">
        <f t="shared" si="27"/>
        <v>K-StrongMini fiók 185/350mm, csillapított részleges kihúzású sín 25kg, szürke</v>
      </c>
      <c r="C272" s="3" t="s">
        <v>1885</v>
      </c>
      <c r="D272" s="3" t="s">
        <v>1886</v>
      </c>
      <c r="E272" s="3" t="s">
        <v>1887</v>
      </c>
      <c r="F272" s="3" t="s">
        <v>1888</v>
      </c>
      <c r="G272" s="3" t="s">
        <v>1889</v>
      </c>
      <c r="H272" s="3" t="s">
        <v>1890</v>
      </c>
      <c r="I272" s="3" t="s">
        <v>1666</v>
      </c>
      <c r="K272" s="3" t="s">
        <v>1836</v>
      </c>
      <c r="L272" s="87" t="s">
        <v>109</v>
      </c>
      <c r="M272" s="87" t="s">
        <v>373</v>
      </c>
      <c r="N272" s="87">
        <v>350</v>
      </c>
      <c r="O272" s="4" t="str">
        <f t="shared" si="24"/>
        <v>šedá_částečný výsuv_185_350</v>
      </c>
      <c r="P272" s="64" t="str">
        <f t="shared" si="25"/>
        <v>548523</v>
      </c>
      <c r="Q272" t="str">
        <f t="shared" si="26"/>
        <v>K-StrongMini fiók 185/350mm, csillapított részleges kihúzású sín 25kg, szürke</v>
      </c>
    </row>
    <row r="273" spans="2:17" x14ac:dyDescent="0.25">
      <c r="B273" t="str">
        <f t="shared" si="27"/>
        <v>K-StrongMini fiók 185/350mm, csillapított teljes kihúzású sín 30kg, fehér</v>
      </c>
      <c r="C273" s="3" t="s">
        <v>1891</v>
      </c>
      <c r="D273" s="3" t="s">
        <v>1892</v>
      </c>
      <c r="E273" s="3" t="s">
        <v>1893</v>
      </c>
      <c r="F273" s="3" t="s">
        <v>1894</v>
      </c>
      <c r="G273" s="3" t="s">
        <v>1895</v>
      </c>
      <c r="H273" s="3" t="s">
        <v>1896</v>
      </c>
      <c r="I273" s="3" t="s">
        <v>1666</v>
      </c>
      <c r="K273" s="3" t="s">
        <v>1836</v>
      </c>
      <c r="L273" s="87" t="s">
        <v>101</v>
      </c>
      <c r="M273" s="87" t="s">
        <v>368</v>
      </c>
      <c r="N273" s="87">
        <v>350</v>
      </c>
      <c r="O273" s="4" t="str">
        <f t="shared" si="24"/>
        <v>bílá_plnovýsuv_185_350</v>
      </c>
      <c r="P273" s="64" t="str">
        <f t="shared" si="25"/>
        <v>548544</v>
      </c>
      <c r="Q273" t="str">
        <f t="shared" si="26"/>
        <v>K-StrongMini fiók 185/350mm, csillapított teljes kihúzású sín 30kg, fehér</v>
      </c>
    </row>
    <row r="274" spans="2:17" x14ac:dyDescent="0.25">
      <c r="B274" t="str">
        <f t="shared" si="27"/>
        <v>K-StrongMini fiók 185/350mm, csillapított teljes kihúzású sín 30kg, szürke</v>
      </c>
      <c r="C274" s="3" t="s">
        <v>1897</v>
      </c>
      <c r="D274" s="3" t="s">
        <v>1898</v>
      </c>
      <c r="E274" s="3" t="s">
        <v>1899</v>
      </c>
      <c r="F274" s="3" t="s">
        <v>1900</v>
      </c>
      <c r="G274" s="3" t="s">
        <v>1901</v>
      </c>
      <c r="H274" s="3" t="s">
        <v>1902</v>
      </c>
      <c r="I274" s="3" t="s">
        <v>1666</v>
      </c>
      <c r="K274" s="3" t="s">
        <v>1836</v>
      </c>
      <c r="L274" s="87" t="s">
        <v>109</v>
      </c>
      <c r="M274" s="87" t="s">
        <v>368</v>
      </c>
      <c r="N274" s="87">
        <v>350</v>
      </c>
      <c r="O274" s="4" t="str">
        <f t="shared" si="24"/>
        <v>šedá_plnovýsuv_185_350</v>
      </c>
      <c r="P274" s="64" t="str">
        <f t="shared" si="25"/>
        <v>548565</v>
      </c>
      <c r="Q274" t="str">
        <f t="shared" si="26"/>
        <v>K-StrongMini fiók 185/350mm, csillapított teljes kihúzású sín 30kg, szürke</v>
      </c>
    </row>
    <row r="275" spans="2:17" x14ac:dyDescent="0.25">
      <c r="B275" t="str">
        <f t="shared" si="27"/>
        <v>K-StrongMini fiók 185/400mm, csillapított részleges kihúzású sín 25kg, fehér</v>
      </c>
      <c r="C275" s="3" t="s">
        <v>1903</v>
      </c>
      <c r="D275" s="3" t="s">
        <v>1904</v>
      </c>
      <c r="E275" s="3" t="s">
        <v>1905</v>
      </c>
      <c r="F275" s="3" t="s">
        <v>1906</v>
      </c>
      <c r="G275" s="3" t="s">
        <v>1907</v>
      </c>
      <c r="H275" s="3" t="s">
        <v>1908</v>
      </c>
      <c r="I275" s="3" t="s">
        <v>1666</v>
      </c>
      <c r="K275" s="3" t="s">
        <v>1836</v>
      </c>
      <c r="L275" s="87" t="s">
        <v>101</v>
      </c>
      <c r="M275" s="87" t="s">
        <v>373</v>
      </c>
      <c r="N275" s="87">
        <v>400</v>
      </c>
      <c r="O275" s="4" t="str">
        <f t="shared" si="24"/>
        <v>bílá_částečný výsuv_185_400</v>
      </c>
      <c r="P275" s="64" t="str">
        <f t="shared" si="25"/>
        <v>548503</v>
      </c>
      <c r="Q275" t="str">
        <f t="shared" si="26"/>
        <v>K-StrongMini fiók 185/400mm, csillapított részleges kihúzású sín 25kg, fehér</v>
      </c>
    </row>
    <row r="276" spans="2:17" x14ac:dyDescent="0.25">
      <c r="B276" t="str">
        <f t="shared" si="27"/>
        <v>K-StrongMini fiók 185/400mm, csillapított részleges kihúzású sín 25kg, szürke</v>
      </c>
      <c r="C276" s="3" t="s">
        <v>1909</v>
      </c>
      <c r="D276" s="3" t="s">
        <v>1910</v>
      </c>
      <c r="E276" s="3" t="s">
        <v>1911</v>
      </c>
      <c r="F276" s="3" t="s">
        <v>1912</v>
      </c>
      <c r="G276" s="3" t="s">
        <v>1913</v>
      </c>
      <c r="H276" s="3" t="s">
        <v>1914</v>
      </c>
      <c r="I276" s="3" t="s">
        <v>1666</v>
      </c>
      <c r="K276" s="3" t="s">
        <v>1836</v>
      </c>
      <c r="L276" s="87" t="s">
        <v>109</v>
      </c>
      <c r="M276" s="87" t="s">
        <v>373</v>
      </c>
      <c r="N276" s="87">
        <v>400</v>
      </c>
      <c r="O276" s="4" t="str">
        <f t="shared" si="24"/>
        <v>šedá_částečný výsuv_185_400</v>
      </c>
      <c r="P276" s="64" t="str">
        <f t="shared" si="25"/>
        <v>548524</v>
      </c>
      <c r="Q276" t="str">
        <f t="shared" si="26"/>
        <v>K-StrongMini fiók 185/400mm, csillapított részleges kihúzású sín 25kg, szürke</v>
      </c>
    </row>
    <row r="277" spans="2:17" x14ac:dyDescent="0.25">
      <c r="B277" t="str">
        <f t="shared" si="27"/>
        <v>K-StrongMini fiók 185/400mm, csillapított teljes kihúzású sín 30kg, fehér</v>
      </c>
      <c r="C277" s="3" t="s">
        <v>1915</v>
      </c>
      <c r="D277" s="3" t="s">
        <v>1916</v>
      </c>
      <c r="E277" s="3" t="s">
        <v>1917</v>
      </c>
      <c r="F277" s="3" t="s">
        <v>1918</v>
      </c>
      <c r="G277" s="3" t="s">
        <v>1919</v>
      </c>
      <c r="H277" s="3" t="s">
        <v>1920</v>
      </c>
      <c r="I277" s="3" t="s">
        <v>1666</v>
      </c>
      <c r="K277" s="3" t="s">
        <v>1836</v>
      </c>
      <c r="L277" s="87" t="s">
        <v>101</v>
      </c>
      <c r="M277" s="87" t="s">
        <v>368</v>
      </c>
      <c r="N277" s="87">
        <v>400</v>
      </c>
      <c r="O277" s="4" t="str">
        <f t="shared" si="24"/>
        <v>bílá_plnovýsuv_185_400</v>
      </c>
      <c r="P277" s="64" t="str">
        <f t="shared" si="25"/>
        <v>548545</v>
      </c>
      <c r="Q277" t="str">
        <f t="shared" si="26"/>
        <v>K-StrongMini fiók 185/400mm, csillapított teljes kihúzású sín 30kg, fehér</v>
      </c>
    </row>
    <row r="278" spans="2:17" x14ac:dyDescent="0.25">
      <c r="B278" t="str">
        <f t="shared" si="27"/>
        <v>K-StrongMini fiók 185/400mm, csillapított teljes kihúzású sín 30kg, szürke</v>
      </c>
      <c r="C278" s="3" t="s">
        <v>1921</v>
      </c>
      <c r="D278" s="3" t="s">
        <v>1922</v>
      </c>
      <c r="E278" s="3" t="s">
        <v>1923</v>
      </c>
      <c r="F278" s="3" t="s">
        <v>1924</v>
      </c>
      <c r="G278" s="3" t="s">
        <v>1925</v>
      </c>
      <c r="H278" s="3" t="s">
        <v>1926</v>
      </c>
      <c r="I278" s="3" t="s">
        <v>1666</v>
      </c>
      <c r="K278" s="3" t="s">
        <v>1836</v>
      </c>
      <c r="L278" s="87" t="s">
        <v>109</v>
      </c>
      <c r="M278" s="87" t="s">
        <v>368</v>
      </c>
      <c r="N278" s="87">
        <v>400</v>
      </c>
      <c r="O278" s="4" t="str">
        <f t="shared" si="24"/>
        <v>šedá_plnovýsuv_185_400</v>
      </c>
      <c r="P278" s="64" t="str">
        <f t="shared" si="25"/>
        <v>548566</v>
      </c>
      <c r="Q278" t="str">
        <f t="shared" si="26"/>
        <v>K-StrongMini fiók 185/400mm, csillapított teljes kihúzású sín 30kg, szürke</v>
      </c>
    </row>
    <row r="279" spans="2:17" x14ac:dyDescent="0.25">
      <c r="B279" t="str">
        <f t="shared" si="27"/>
        <v>K-StrongMini fiók 185/450mm, csillapított részleges kihúzású sín 25kg, fehér</v>
      </c>
      <c r="C279" s="3" t="s">
        <v>1927</v>
      </c>
      <c r="D279" s="3" t="s">
        <v>1928</v>
      </c>
      <c r="E279" s="3" t="s">
        <v>1929</v>
      </c>
      <c r="F279" s="3" t="s">
        <v>1930</v>
      </c>
      <c r="G279" s="3" t="s">
        <v>1931</v>
      </c>
      <c r="H279" s="3" t="s">
        <v>1932</v>
      </c>
      <c r="I279" s="3" t="s">
        <v>1666</v>
      </c>
      <c r="K279" s="3" t="s">
        <v>1836</v>
      </c>
      <c r="L279" s="87" t="s">
        <v>101</v>
      </c>
      <c r="M279" s="87" t="s">
        <v>373</v>
      </c>
      <c r="N279" s="87">
        <v>450</v>
      </c>
      <c r="O279" s="4" t="str">
        <f t="shared" si="24"/>
        <v>bílá_částečný výsuv_185_450</v>
      </c>
      <c r="P279" s="64" t="str">
        <f t="shared" si="25"/>
        <v>548504</v>
      </c>
      <c r="Q279" t="str">
        <f t="shared" si="26"/>
        <v>K-StrongMini fiók 185/450mm, csillapított részleges kihúzású sín 25kg, fehér</v>
      </c>
    </row>
    <row r="280" spans="2:17" x14ac:dyDescent="0.25">
      <c r="B280" t="str">
        <f t="shared" si="27"/>
        <v>K-StrongMini fiók 185/450mm, csillapított részleges kihúzású sín 25kg, szürke</v>
      </c>
      <c r="C280" s="3" t="s">
        <v>1933</v>
      </c>
      <c r="D280" s="3" t="s">
        <v>1934</v>
      </c>
      <c r="E280" s="3" t="s">
        <v>1935</v>
      </c>
      <c r="F280" s="3" t="s">
        <v>1936</v>
      </c>
      <c r="G280" s="3" t="s">
        <v>1937</v>
      </c>
      <c r="H280" s="3" t="s">
        <v>1938</v>
      </c>
      <c r="I280" s="3" t="s">
        <v>1666</v>
      </c>
      <c r="K280" s="3" t="s">
        <v>1836</v>
      </c>
      <c r="L280" s="87" t="s">
        <v>109</v>
      </c>
      <c r="M280" s="87" t="s">
        <v>373</v>
      </c>
      <c r="N280" s="87">
        <v>450</v>
      </c>
      <c r="O280" s="4" t="str">
        <f t="shared" si="24"/>
        <v>šedá_částečný výsuv_185_450</v>
      </c>
      <c r="P280" s="64" t="str">
        <f t="shared" si="25"/>
        <v>548525</v>
      </c>
      <c r="Q280" t="str">
        <f t="shared" si="26"/>
        <v>K-StrongMini fiók 185/450mm, csillapított részleges kihúzású sín 25kg, szürke</v>
      </c>
    </row>
    <row r="281" spans="2:17" x14ac:dyDescent="0.25">
      <c r="B281" t="str">
        <f t="shared" si="27"/>
        <v>K-StrongMini fiók 185/450mm, csillapított teljes kihúzású sín 30kg, fehér</v>
      </c>
      <c r="C281" s="3" t="s">
        <v>1939</v>
      </c>
      <c r="D281" s="3" t="s">
        <v>1940</v>
      </c>
      <c r="E281" s="3" t="s">
        <v>1941</v>
      </c>
      <c r="F281" s="3" t="s">
        <v>1942</v>
      </c>
      <c r="G281" s="3" t="s">
        <v>1943</v>
      </c>
      <c r="H281" s="3" t="s">
        <v>1944</v>
      </c>
      <c r="I281" s="3" t="s">
        <v>1666</v>
      </c>
      <c r="K281" s="3" t="s">
        <v>1836</v>
      </c>
      <c r="L281" s="87" t="s">
        <v>101</v>
      </c>
      <c r="M281" s="87" t="s">
        <v>368</v>
      </c>
      <c r="N281" s="87">
        <v>450</v>
      </c>
      <c r="O281" s="4" t="str">
        <f t="shared" si="24"/>
        <v>bílá_plnovýsuv_185_450</v>
      </c>
      <c r="P281" s="64" t="str">
        <f t="shared" si="25"/>
        <v>548546</v>
      </c>
      <c r="Q281" t="str">
        <f t="shared" si="26"/>
        <v>K-StrongMini fiók 185/450mm, csillapított teljes kihúzású sín 30kg, fehér</v>
      </c>
    </row>
    <row r="282" spans="2:17" x14ac:dyDescent="0.25">
      <c r="B282" t="str">
        <f t="shared" si="27"/>
        <v>K-StrongMini fiók 185/450mm, csillapított teljes kihúzású sín 30kg, szürke</v>
      </c>
      <c r="C282" s="3" t="s">
        <v>1945</v>
      </c>
      <c r="D282" s="3" t="s">
        <v>1946</v>
      </c>
      <c r="E282" s="3" t="s">
        <v>1947</v>
      </c>
      <c r="F282" s="3" t="s">
        <v>1948</v>
      </c>
      <c r="G282" s="3" t="s">
        <v>1949</v>
      </c>
      <c r="H282" s="3" t="s">
        <v>1950</v>
      </c>
      <c r="I282" s="3" t="s">
        <v>1666</v>
      </c>
      <c r="K282" s="3" t="s">
        <v>1836</v>
      </c>
      <c r="L282" s="87" t="s">
        <v>109</v>
      </c>
      <c r="M282" s="87" t="s">
        <v>368</v>
      </c>
      <c r="N282" s="87">
        <v>450</v>
      </c>
      <c r="O282" s="4" t="str">
        <f t="shared" si="24"/>
        <v>šedá_plnovýsuv_185_450</v>
      </c>
      <c r="P282" s="64" t="str">
        <f t="shared" si="25"/>
        <v>548567</v>
      </c>
      <c r="Q282" t="str">
        <f t="shared" si="26"/>
        <v>K-StrongMini fiók 185/450mm, csillapított teljes kihúzású sín 30kg, szürke</v>
      </c>
    </row>
    <row r="283" spans="2:17" x14ac:dyDescent="0.25">
      <c r="B283" t="str">
        <f t="shared" si="27"/>
        <v>K-StrongMini fiók 185/500mm, csillapított részleges kihúzású sín 25kg, fehér</v>
      </c>
      <c r="C283" s="3" t="s">
        <v>1951</v>
      </c>
      <c r="D283" s="3" t="s">
        <v>1952</v>
      </c>
      <c r="E283" s="3" t="s">
        <v>1953</v>
      </c>
      <c r="F283" s="3" t="s">
        <v>1954</v>
      </c>
      <c r="G283" s="3" t="s">
        <v>1955</v>
      </c>
      <c r="H283" s="3" t="s">
        <v>1956</v>
      </c>
      <c r="I283" s="3" t="s">
        <v>1666</v>
      </c>
      <c r="K283" s="3" t="s">
        <v>1836</v>
      </c>
      <c r="L283" s="87" t="s">
        <v>101</v>
      </c>
      <c r="M283" s="87" t="s">
        <v>373</v>
      </c>
      <c r="N283" s="87">
        <v>500</v>
      </c>
      <c r="O283" s="4" t="str">
        <f t="shared" si="24"/>
        <v>bílá_částečný výsuv_185_500</v>
      </c>
      <c r="P283" s="64" t="str">
        <f t="shared" si="25"/>
        <v>548505</v>
      </c>
      <c r="Q283" t="str">
        <f t="shared" si="26"/>
        <v>K-StrongMini fiók 185/500mm, csillapított részleges kihúzású sín 25kg, fehér</v>
      </c>
    </row>
    <row r="284" spans="2:17" x14ac:dyDescent="0.25">
      <c r="B284" t="str">
        <f t="shared" si="27"/>
        <v>K-StrongMini fiók 185/500mm, csillapított részleges kihúzású sín  25kg, szürke</v>
      </c>
      <c r="C284" s="3" t="s">
        <v>1957</v>
      </c>
      <c r="D284" s="3" t="s">
        <v>1958</v>
      </c>
      <c r="E284" s="3" t="s">
        <v>1959</v>
      </c>
      <c r="F284" s="3" t="s">
        <v>1960</v>
      </c>
      <c r="G284" s="3" t="s">
        <v>1961</v>
      </c>
      <c r="H284" s="3" t="s">
        <v>1962</v>
      </c>
      <c r="I284" s="3" t="s">
        <v>1666</v>
      </c>
      <c r="K284" s="3" t="s">
        <v>1836</v>
      </c>
      <c r="L284" s="87" t="s">
        <v>109</v>
      </c>
      <c r="M284" s="87" t="s">
        <v>373</v>
      </c>
      <c r="N284" s="87">
        <v>500</v>
      </c>
      <c r="O284" s="4" t="str">
        <f t="shared" si="24"/>
        <v>šedá_částečný výsuv_185_500</v>
      </c>
      <c r="P284" s="64" t="str">
        <f t="shared" si="25"/>
        <v>548526</v>
      </c>
      <c r="Q284" t="str">
        <f t="shared" si="26"/>
        <v>K-StrongMini fiók 185/500mm, csillapított részleges kihúzású sín  25kg, szürke</v>
      </c>
    </row>
    <row r="285" spans="2:17" x14ac:dyDescent="0.25">
      <c r="B285" t="str">
        <f t="shared" si="27"/>
        <v>K-StrongMini fiók 185/500mm, csillapított teljes kihúzású sín 30kg, fehér</v>
      </c>
      <c r="C285" s="3" t="s">
        <v>1963</v>
      </c>
      <c r="D285" s="3" t="s">
        <v>1964</v>
      </c>
      <c r="E285" s="3" t="s">
        <v>1965</v>
      </c>
      <c r="F285" s="3" t="s">
        <v>1966</v>
      </c>
      <c r="G285" s="3" t="s">
        <v>1967</v>
      </c>
      <c r="H285" s="3" t="s">
        <v>1968</v>
      </c>
      <c r="I285" s="3" t="s">
        <v>1666</v>
      </c>
      <c r="K285" s="3" t="s">
        <v>1836</v>
      </c>
      <c r="L285" s="87" t="s">
        <v>101</v>
      </c>
      <c r="M285" s="87" t="s">
        <v>368</v>
      </c>
      <c r="N285" s="87">
        <v>500</v>
      </c>
      <c r="O285" s="4" t="str">
        <f t="shared" si="24"/>
        <v>bílá_plnovýsuv_185_500</v>
      </c>
      <c r="P285" s="64" t="str">
        <f t="shared" si="25"/>
        <v>548547</v>
      </c>
      <c r="Q285" t="str">
        <f t="shared" si="26"/>
        <v>K-StrongMini fiók 185/500mm, csillapított teljes kihúzású sín 30kg, fehér</v>
      </c>
    </row>
    <row r="286" spans="2:17" x14ac:dyDescent="0.25">
      <c r="B286" t="str">
        <f t="shared" si="27"/>
        <v>K-StrongMini fiók 185/500mm, csillapított teljes kihúzású sín 30kg, szürke</v>
      </c>
      <c r="C286" s="3" t="s">
        <v>1969</v>
      </c>
      <c r="D286" s="3" t="s">
        <v>1970</v>
      </c>
      <c r="E286" s="3" t="s">
        <v>1971</v>
      </c>
      <c r="F286" s="3" t="s">
        <v>1972</v>
      </c>
      <c r="G286" s="3" t="s">
        <v>1973</v>
      </c>
      <c r="H286" s="3" t="s">
        <v>1974</v>
      </c>
      <c r="I286" s="3" t="s">
        <v>1666</v>
      </c>
      <c r="K286" s="3" t="s">
        <v>1836</v>
      </c>
      <c r="L286" s="87" t="s">
        <v>109</v>
      </c>
      <c r="M286" s="87" t="s">
        <v>368</v>
      </c>
      <c r="N286" s="87">
        <v>500</v>
      </c>
      <c r="O286" s="4" t="str">
        <f t="shared" si="24"/>
        <v>šedá_plnovýsuv_185_500</v>
      </c>
      <c r="P286" s="64" t="str">
        <f t="shared" si="25"/>
        <v>548568</v>
      </c>
      <c r="Q286" t="str">
        <f t="shared" si="26"/>
        <v>K-StrongMini fiók 185/500mm, csillapított teljes kihúzású sín 30kg, szürke</v>
      </c>
    </row>
    <row r="287" spans="2:17" x14ac:dyDescent="0.25">
      <c r="B287" t="str">
        <f t="shared" si="27"/>
        <v>K-StrongMini fiók 185/550mm, csillapított részleges kihúzású sín 25kg, fehér</v>
      </c>
      <c r="C287" s="3" t="s">
        <v>1975</v>
      </c>
      <c r="D287" s="3" t="s">
        <v>1976</v>
      </c>
      <c r="E287" s="3" t="s">
        <v>1977</v>
      </c>
      <c r="F287" s="3" t="s">
        <v>1978</v>
      </c>
      <c r="G287" s="3" t="s">
        <v>1979</v>
      </c>
      <c r="H287" s="3" t="s">
        <v>1980</v>
      </c>
      <c r="I287" s="3" t="s">
        <v>1666</v>
      </c>
      <c r="K287" s="3" t="s">
        <v>1836</v>
      </c>
      <c r="L287" s="87" t="s">
        <v>101</v>
      </c>
      <c r="M287" s="87" t="s">
        <v>373</v>
      </c>
      <c r="N287" s="87">
        <v>550</v>
      </c>
      <c r="O287" s="4" t="str">
        <f t="shared" si="24"/>
        <v>bílá_částečný výsuv_185_550</v>
      </c>
      <c r="P287" s="64" t="str">
        <f t="shared" si="25"/>
        <v>548506</v>
      </c>
      <c r="Q287" t="str">
        <f t="shared" si="26"/>
        <v>K-StrongMini fiók 185/550mm, csillapított részleges kihúzású sín 25kg, fehér</v>
      </c>
    </row>
    <row r="288" spans="2:17" x14ac:dyDescent="0.25">
      <c r="B288" t="str">
        <f t="shared" si="27"/>
        <v>K-StrongMini fiók 185/550mm, csillapított részleges kihúzású sín 25kg, szürke</v>
      </c>
      <c r="C288" s="3" t="s">
        <v>1981</v>
      </c>
      <c r="D288" s="3" t="s">
        <v>1982</v>
      </c>
      <c r="E288" s="3" t="s">
        <v>1983</v>
      </c>
      <c r="F288" s="3" t="s">
        <v>1984</v>
      </c>
      <c r="G288" s="3" t="s">
        <v>1985</v>
      </c>
      <c r="H288" s="3" t="s">
        <v>1986</v>
      </c>
      <c r="I288" s="3" t="s">
        <v>1666</v>
      </c>
      <c r="K288" s="3" t="s">
        <v>1836</v>
      </c>
      <c r="L288" s="87" t="s">
        <v>109</v>
      </c>
      <c r="M288" s="87" t="s">
        <v>373</v>
      </c>
      <c r="N288" s="87">
        <v>550</v>
      </c>
      <c r="O288" s="4" t="str">
        <f t="shared" si="24"/>
        <v>šedá_částečný výsuv_185_550</v>
      </c>
      <c r="P288" s="64" t="str">
        <f t="shared" si="25"/>
        <v>548527</v>
      </c>
      <c r="Q288" t="str">
        <f t="shared" si="26"/>
        <v>K-StrongMini fiók 185/550mm, csillapított részleges kihúzású sín 25kg, szürke</v>
      </c>
    </row>
    <row r="289" spans="2:17" x14ac:dyDescent="0.25">
      <c r="B289" t="str">
        <f t="shared" si="27"/>
        <v>K-StrongMini fiók 185/550mm, csillapított teljes kihúzású sín 30kg, fehér</v>
      </c>
      <c r="C289" s="3" t="s">
        <v>1987</v>
      </c>
      <c r="D289" s="3" t="s">
        <v>1988</v>
      </c>
      <c r="E289" s="3" t="s">
        <v>1989</v>
      </c>
      <c r="F289" s="3" t="s">
        <v>1990</v>
      </c>
      <c r="G289" s="3" t="s">
        <v>1991</v>
      </c>
      <c r="H289" s="3" t="s">
        <v>1992</v>
      </c>
      <c r="I289" s="3" t="s">
        <v>1666</v>
      </c>
      <c r="K289" s="3" t="s">
        <v>1836</v>
      </c>
      <c r="L289" s="87" t="s">
        <v>101</v>
      </c>
      <c r="M289" s="87" t="s">
        <v>368</v>
      </c>
      <c r="N289" s="87">
        <v>550</v>
      </c>
      <c r="O289" s="4" t="str">
        <f t="shared" si="24"/>
        <v>bílá_plnovýsuv_185_550</v>
      </c>
      <c r="P289" s="64" t="str">
        <f t="shared" si="25"/>
        <v>548548</v>
      </c>
      <c r="Q289" t="str">
        <f t="shared" si="26"/>
        <v>K-StrongMini fiók 185/550mm, csillapított teljes kihúzású sín 30kg, fehér</v>
      </c>
    </row>
    <row r="290" spans="2:17" x14ac:dyDescent="0.25">
      <c r="B290" t="str">
        <f t="shared" si="27"/>
        <v>K-StrongMini fiók 185/550mm, csillapított teljes kihúzású sín 30kg, szürke</v>
      </c>
      <c r="C290" s="3" t="s">
        <v>1993</v>
      </c>
      <c r="D290" s="3" t="s">
        <v>1994</v>
      </c>
      <c r="E290" s="3" t="s">
        <v>1995</v>
      </c>
      <c r="F290" s="3" t="s">
        <v>1996</v>
      </c>
      <c r="G290" s="3" t="s">
        <v>1997</v>
      </c>
      <c r="H290" s="3" t="s">
        <v>1998</v>
      </c>
      <c r="I290" s="3" t="s">
        <v>1666</v>
      </c>
      <c r="K290" s="3" t="s">
        <v>1836</v>
      </c>
      <c r="L290" s="87" t="s">
        <v>109</v>
      </c>
      <c r="M290" s="87" t="s">
        <v>368</v>
      </c>
      <c r="N290" s="87">
        <v>550</v>
      </c>
      <c r="O290" s="4" t="str">
        <f t="shared" si="24"/>
        <v>šedá_plnovýsuv_185_550</v>
      </c>
      <c r="P290" s="64" t="str">
        <f t="shared" si="25"/>
        <v>548569</v>
      </c>
      <c r="Q290" t="str">
        <f t="shared" si="26"/>
        <v>K-StrongMini fiók 185/550mm, csillapított teljes kihúzású sín 30kg, szürke</v>
      </c>
    </row>
    <row r="291" spans="2:17" x14ac:dyDescent="0.25">
      <c r="B291" t="str">
        <f t="shared" si="27"/>
        <v>K-StrongMini fiók 89/270mm, csillapított részleges kihúzású sín 25kg, fehér</v>
      </c>
      <c r="C291" s="3" t="s">
        <v>1999</v>
      </c>
      <c r="D291" s="3" t="s">
        <v>2000</v>
      </c>
      <c r="E291" s="3" t="s">
        <v>2001</v>
      </c>
      <c r="F291" s="3" t="s">
        <v>2002</v>
      </c>
      <c r="G291" s="3" t="s">
        <v>2003</v>
      </c>
      <c r="H291" s="3" t="s">
        <v>2004</v>
      </c>
      <c r="I291" s="3" t="s">
        <v>1666</v>
      </c>
      <c r="K291" s="3" t="s">
        <v>477</v>
      </c>
      <c r="L291" s="87" t="s">
        <v>101</v>
      </c>
      <c r="M291" s="87" t="s">
        <v>373</v>
      </c>
      <c r="N291" s="87">
        <v>270</v>
      </c>
      <c r="O291" s="4" t="str">
        <f t="shared" si="24"/>
        <v>bílá_částečný výsuv_89_270</v>
      </c>
      <c r="P291" s="64" t="str">
        <f t="shared" si="25"/>
        <v>548486</v>
      </c>
      <c r="Q291" t="str">
        <f t="shared" si="26"/>
        <v>K-StrongMini fiók 89/270mm, csillapított részleges kihúzású sín 25kg, fehér</v>
      </c>
    </row>
    <row r="292" spans="2:17" x14ac:dyDescent="0.25">
      <c r="B292" t="str">
        <f t="shared" si="27"/>
        <v>K-StrongMini fiók 89/270mm, csillapított részleges kihúzású sín 25kg, szürke</v>
      </c>
      <c r="C292" s="3" t="s">
        <v>2005</v>
      </c>
      <c r="D292" s="3" t="s">
        <v>2006</v>
      </c>
      <c r="E292" s="3" t="s">
        <v>2007</v>
      </c>
      <c r="F292" s="3" t="s">
        <v>2008</v>
      </c>
      <c r="G292" s="3" t="s">
        <v>2009</v>
      </c>
      <c r="H292" s="3" t="s">
        <v>2010</v>
      </c>
      <c r="I292" s="3" t="s">
        <v>1666</v>
      </c>
      <c r="K292" s="3" t="s">
        <v>477</v>
      </c>
      <c r="L292" s="87" t="s">
        <v>109</v>
      </c>
      <c r="M292" s="87" t="s">
        <v>373</v>
      </c>
      <c r="N292" s="87">
        <v>270</v>
      </c>
      <c r="O292" s="4" t="str">
        <f t="shared" si="24"/>
        <v>šedá_částečný výsuv_89_270</v>
      </c>
      <c r="P292" s="64" t="str">
        <f t="shared" si="25"/>
        <v>548507</v>
      </c>
      <c r="Q292" t="str">
        <f t="shared" si="26"/>
        <v>K-StrongMini fiók 89/270mm, csillapított részleges kihúzású sín 25kg, szürke</v>
      </c>
    </row>
    <row r="293" spans="2:17" x14ac:dyDescent="0.25">
      <c r="B293" t="str">
        <f t="shared" si="27"/>
        <v>K-StrongMini fiók 89/270mm, csillapított teljes kihúzású sín 30kg, fehér</v>
      </c>
      <c r="C293" s="3" t="s">
        <v>2011</v>
      </c>
      <c r="D293" s="3" t="s">
        <v>2012</v>
      </c>
      <c r="E293" s="3" t="s">
        <v>2013</v>
      </c>
      <c r="F293" s="3" t="s">
        <v>2014</v>
      </c>
      <c r="G293" s="3" t="s">
        <v>2015</v>
      </c>
      <c r="H293" s="3" t="s">
        <v>2016</v>
      </c>
      <c r="I293" s="3" t="s">
        <v>1666</v>
      </c>
      <c r="K293" s="3" t="s">
        <v>477</v>
      </c>
      <c r="L293" s="87" t="s">
        <v>101</v>
      </c>
      <c r="M293" s="87" t="s">
        <v>368</v>
      </c>
      <c r="N293" s="87">
        <v>270</v>
      </c>
      <c r="O293" s="4" t="str">
        <f t="shared" si="24"/>
        <v>bílá_plnovýsuv_89_270</v>
      </c>
      <c r="P293" s="64" t="str">
        <f t="shared" si="25"/>
        <v>548528</v>
      </c>
      <c r="Q293" t="str">
        <f t="shared" si="26"/>
        <v>K-StrongMini fiók 89/270mm, csillapított teljes kihúzású sín 30kg, fehér</v>
      </c>
    </row>
    <row r="294" spans="2:17" x14ac:dyDescent="0.25">
      <c r="B294" t="str">
        <f t="shared" si="27"/>
        <v>K-StrongMini fiók 89/270mm, csillapított teljes kihúzású sín 30kg, szürke</v>
      </c>
      <c r="C294" s="3" t="s">
        <v>2017</v>
      </c>
      <c r="D294" s="3" t="s">
        <v>2018</v>
      </c>
      <c r="E294" s="3" t="s">
        <v>2019</v>
      </c>
      <c r="F294" s="3" t="s">
        <v>2020</v>
      </c>
      <c r="G294" s="3" t="s">
        <v>2021</v>
      </c>
      <c r="H294" s="3" t="s">
        <v>2022</v>
      </c>
      <c r="I294" s="3" t="s">
        <v>1666</v>
      </c>
      <c r="K294" s="3" t="s">
        <v>477</v>
      </c>
      <c r="L294" s="87" t="s">
        <v>109</v>
      </c>
      <c r="M294" s="87" t="s">
        <v>368</v>
      </c>
      <c r="N294" s="87">
        <v>270</v>
      </c>
      <c r="O294" s="4" t="str">
        <f t="shared" si="24"/>
        <v>šedá_plnovýsuv_89_270</v>
      </c>
      <c r="P294" s="64" t="str">
        <f t="shared" si="25"/>
        <v>548549</v>
      </c>
      <c r="Q294" t="str">
        <f t="shared" si="26"/>
        <v>K-StrongMini fiók 89/270mm, csillapított teljes kihúzású sín 30kg, szürke</v>
      </c>
    </row>
    <row r="295" spans="2:17" x14ac:dyDescent="0.25">
      <c r="B295" t="str">
        <f t="shared" si="27"/>
        <v>K-StrongMini fiók 89/300mm, csillapított részleges kihúzású sín 25kg, fehér</v>
      </c>
      <c r="C295" s="3" t="s">
        <v>2023</v>
      </c>
      <c r="D295" s="3" t="s">
        <v>2024</v>
      </c>
      <c r="E295" s="3" t="s">
        <v>2025</v>
      </c>
      <c r="F295" s="3" t="s">
        <v>2026</v>
      </c>
      <c r="G295" s="3" t="s">
        <v>2027</v>
      </c>
      <c r="H295" s="3" t="s">
        <v>2028</v>
      </c>
      <c r="I295" s="3" t="s">
        <v>1666</v>
      </c>
      <c r="K295" s="3" t="s">
        <v>477</v>
      </c>
      <c r="L295" s="87" t="s">
        <v>101</v>
      </c>
      <c r="M295" s="87" t="s">
        <v>373</v>
      </c>
      <c r="N295" s="87">
        <v>300</v>
      </c>
      <c r="O295" s="4" t="str">
        <f t="shared" si="24"/>
        <v>bílá_částečný výsuv_89_300</v>
      </c>
      <c r="P295" s="64" t="str">
        <f t="shared" si="25"/>
        <v>548487</v>
      </c>
      <c r="Q295" t="str">
        <f t="shared" si="26"/>
        <v>K-StrongMini fiók 89/300mm, csillapított részleges kihúzású sín 25kg, fehér</v>
      </c>
    </row>
    <row r="296" spans="2:17" x14ac:dyDescent="0.25">
      <c r="B296" t="str">
        <f t="shared" si="27"/>
        <v>K-StrongMini fiók 89/300mm, csillapított részleges kihúzású sín 25kg, szürke</v>
      </c>
      <c r="C296" s="3" t="s">
        <v>2029</v>
      </c>
      <c r="D296" s="3" t="s">
        <v>2030</v>
      </c>
      <c r="E296" s="3" t="s">
        <v>2031</v>
      </c>
      <c r="F296" s="3" t="s">
        <v>2032</v>
      </c>
      <c r="G296" s="3" t="s">
        <v>2033</v>
      </c>
      <c r="H296" s="3" t="s">
        <v>2034</v>
      </c>
      <c r="I296" s="3" t="s">
        <v>1666</v>
      </c>
      <c r="K296" s="3" t="s">
        <v>477</v>
      </c>
      <c r="L296" s="87" t="s">
        <v>109</v>
      </c>
      <c r="M296" s="87" t="s">
        <v>373</v>
      </c>
      <c r="N296" s="87">
        <v>300</v>
      </c>
      <c r="O296" s="4" t="str">
        <f t="shared" si="24"/>
        <v>šedá_částečný výsuv_89_300</v>
      </c>
      <c r="P296" s="64" t="str">
        <f t="shared" si="25"/>
        <v>548508</v>
      </c>
      <c r="Q296" t="str">
        <f t="shared" si="26"/>
        <v>K-StrongMini fiók 89/300mm, csillapított részleges kihúzású sín 25kg, szürke</v>
      </c>
    </row>
    <row r="297" spans="2:17" x14ac:dyDescent="0.25">
      <c r="B297" t="str">
        <f t="shared" si="27"/>
        <v>K-StrongMini fiók 89/300mm, csillapított teljes kihúzású sín 30kg, fehér</v>
      </c>
      <c r="C297" s="3" t="s">
        <v>2035</v>
      </c>
      <c r="D297" s="3" t="s">
        <v>2036</v>
      </c>
      <c r="E297" s="3" t="s">
        <v>2037</v>
      </c>
      <c r="F297" s="3" t="s">
        <v>2038</v>
      </c>
      <c r="G297" s="3" t="s">
        <v>2039</v>
      </c>
      <c r="H297" s="3" t="s">
        <v>2040</v>
      </c>
      <c r="I297" s="3" t="s">
        <v>1666</v>
      </c>
      <c r="K297" s="3" t="s">
        <v>477</v>
      </c>
      <c r="L297" s="87" t="s">
        <v>101</v>
      </c>
      <c r="M297" s="87" t="s">
        <v>368</v>
      </c>
      <c r="N297" s="87">
        <v>300</v>
      </c>
      <c r="O297" s="4" t="str">
        <f t="shared" si="24"/>
        <v>bílá_plnovýsuv_89_300</v>
      </c>
      <c r="P297" s="64" t="str">
        <f t="shared" si="25"/>
        <v>548529</v>
      </c>
      <c r="Q297" t="str">
        <f t="shared" si="26"/>
        <v>K-StrongMini fiók 89/300mm, csillapított teljes kihúzású sín 30kg, fehér</v>
      </c>
    </row>
    <row r="298" spans="2:17" x14ac:dyDescent="0.25">
      <c r="B298" t="str">
        <f t="shared" si="27"/>
        <v>K-StrongMini fiók 89/300mm, csillapított teljes kihúzású sín 30kg, szürke</v>
      </c>
      <c r="C298" s="3" t="s">
        <v>2041</v>
      </c>
      <c r="D298" s="3" t="s">
        <v>2042</v>
      </c>
      <c r="E298" s="3" t="s">
        <v>2043</v>
      </c>
      <c r="F298" s="3" t="s">
        <v>2044</v>
      </c>
      <c r="G298" s="3" t="s">
        <v>2045</v>
      </c>
      <c r="H298" s="3" t="s">
        <v>2046</v>
      </c>
      <c r="I298" s="3" t="s">
        <v>1666</v>
      </c>
      <c r="K298" s="3" t="s">
        <v>477</v>
      </c>
      <c r="L298" s="87" t="s">
        <v>109</v>
      </c>
      <c r="M298" s="87" t="s">
        <v>368</v>
      </c>
      <c r="N298" s="87">
        <v>300</v>
      </c>
      <c r="O298" s="4" t="str">
        <f t="shared" si="24"/>
        <v>šedá_plnovýsuv_89_300</v>
      </c>
      <c r="P298" s="64" t="str">
        <f t="shared" si="25"/>
        <v>548550</v>
      </c>
      <c r="Q298" t="str">
        <f t="shared" si="26"/>
        <v>K-StrongMini fiók 89/300mm, csillapított teljes kihúzású sín 30kg, szürke</v>
      </c>
    </row>
    <row r="299" spans="2:17" x14ac:dyDescent="0.25">
      <c r="B299" t="str">
        <f t="shared" ref="B299:B318" si="28">IF($D$1=1,D:D,IF($D$1=2,E:E,IF($D$1=3,F:F,IF($D$1=4,G:G,IF($D$1=5,H:H)))))</f>
        <v>K-StrongMini fiók 89/350mm, csillapított részleges kihúzású sín 25kg, fehér</v>
      </c>
      <c r="C299" s="3" t="s">
        <v>2047</v>
      </c>
      <c r="D299" s="3" t="s">
        <v>2048</v>
      </c>
      <c r="E299" s="3" t="s">
        <v>2049</v>
      </c>
      <c r="F299" s="3" t="s">
        <v>2050</v>
      </c>
      <c r="G299" s="3" t="s">
        <v>2051</v>
      </c>
      <c r="H299" s="3" t="s">
        <v>2052</v>
      </c>
      <c r="I299" s="3" t="s">
        <v>1666</v>
      </c>
      <c r="K299" s="3" t="s">
        <v>477</v>
      </c>
      <c r="L299" s="87" t="s">
        <v>101</v>
      </c>
      <c r="M299" s="87" t="s">
        <v>373</v>
      </c>
      <c r="N299" s="87">
        <v>350</v>
      </c>
      <c r="O299" s="4" t="str">
        <f t="shared" si="24"/>
        <v>bílá_částečný výsuv_89_350</v>
      </c>
      <c r="P299" s="64" t="str">
        <f t="shared" si="25"/>
        <v>548488</v>
      </c>
      <c r="Q299" t="str">
        <f t="shared" si="26"/>
        <v>K-StrongMini fiók 89/350mm, csillapított részleges kihúzású sín 25kg, fehér</v>
      </c>
    </row>
    <row r="300" spans="2:17" x14ac:dyDescent="0.25">
      <c r="B300" t="str">
        <f t="shared" si="28"/>
        <v>K-StrongMini fiók 89/350mm, csillapított részleges kihúzású sín 25kg, szürke</v>
      </c>
      <c r="C300" s="3" t="s">
        <v>2053</v>
      </c>
      <c r="D300" s="3" t="s">
        <v>2054</v>
      </c>
      <c r="E300" s="3" t="s">
        <v>2055</v>
      </c>
      <c r="F300" s="3" t="s">
        <v>2056</v>
      </c>
      <c r="G300" s="3" t="s">
        <v>2057</v>
      </c>
      <c r="H300" s="3" t="s">
        <v>2058</v>
      </c>
      <c r="I300" s="3" t="s">
        <v>1666</v>
      </c>
      <c r="K300" s="3" t="s">
        <v>477</v>
      </c>
      <c r="L300" s="87" t="s">
        <v>109</v>
      </c>
      <c r="M300" s="87" t="s">
        <v>373</v>
      </c>
      <c r="N300" s="87">
        <v>350</v>
      </c>
      <c r="O300" s="4" t="str">
        <f t="shared" ref="O300:O318" si="29">_xlfn.CONCAT(L300,"_",M300,"_",K300,"_",N300)</f>
        <v>šedá_částečný výsuv_89_350</v>
      </c>
      <c r="P300" s="64" t="str">
        <f t="shared" ref="P300:P318" si="30">C300</f>
        <v>548509</v>
      </c>
      <c r="Q300" t="str">
        <f t="shared" ref="Q300:Q318" si="31">B300</f>
        <v>K-StrongMini fiók 89/350mm, csillapított részleges kihúzású sín 25kg, szürke</v>
      </c>
    </row>
    <row r="301" spans="2:17" x14ac:dyDescent="0.25">
      <c r="B301" t="str">
        <f t="shared" si="28"/>
        <v>K-StrongMini fiók 89/350mm, csillapított teljes kihúzású sín 30kg, fehér</v>
      </c>
      <c r="C301" s="3" t="s">
        <v>2059</v>
      </c>
      <c r="D301" s="3" t="s">
        <v>2060</v>
      </c>
      <c r="E301" s="3" t="s">
        <v>2061</v>
      </c>
      <c r="F301" s="3" t="s">
        <v>2062</v>
      </c>
      <c r="G301" s="3" t="s">
        <v>2063</v>
      </c>
      <c r="H301" s="3" t="s">
        <v>2064</v>
      </c>
      <c r="I301" s="3" t="s">
        <v>1666</v>
      </c>
      <c r="K301" s="3" t="s">
        <v>477</v>
      </c>
      <c r="L301" s="87" t="s">
        <v>101</v>
      </c>
      <c r="M301" s="87" t="s">
        <v>368</v>
      </c>
      <c r="N301" s="87">
        <v>350</v>
      </c>
      <c r="O301" s="4" t="str">
        <f t="shared" si="29"/>
        <v>bílá_plnovýsuv_89_350</v>
      </c>
      <c r="P301" s="64" t="str">
        <f t="shared" si="30"/>
        <v>548530</v>
      </c>
      <c r="Q301" t="str">
        <f t="shared" si="31"/>
        <v>K-StrongMini fiók 89/350mm, csillapított teljes kihúzású sín 30kg, fehér</v>
      </c>
    </row>
    <row r="302" spans="2:17" x14ac:dyDescent="0.25">
      <c r="B302" t="str">
        <f t="shared" si="28"/>
        <v>K-StrongMini fiók 89/350mm, csillapított teljes kihúzású sín 30kg, szürke</v>
      </c>
      <c r="C302" s="3" t="s">
        <v>2065</v>
      </c>
      <c r="D302" s="3" t="s">
        <v>2066</v>
      </c>
      <c r="E302" s="3" t="s">
        <v>2067</v>
      </c>
      <c r="F302" s="3" t="s">
        <v>2068</v>
      </c>
      <c r="G302" s="3" t="s">
        <v>2069</v>
      </c>
      <c r="H302" s="3" t="s">
        <v>2070</v>
      </c>
      <c r="I302" s="3" t="s">
        <v>1666</v>
      </c>
      <c r="K302" s="3" t="s">
        <v>477</v>
      </c>
      <c r="L302" s="87" t="s">
        <v>109</v>
      </c>
      <c r="M302" s="87" t="s">
        <v>368</v>
      </c>
      <c r="N302" s="87">
        <v>350</v>
      </c>
      <c r="O302" s="4" t="str">
        <f t="shared" si="29"/>
        <v>šedá_plnovýsuv_89_350</v>
      </c>
      <c r="P302" s="64" t="str">
        <f t="shared" si="30"/>
        <v>548551</v>
      </c>
      <c r="Q302" t="str">
        <f t="shared" si="31"/>
        <v>K-StrongMini fiók 89/350mm, csillapított teljes kihúzású sín 30kg, szürke</v>
      </c>
    </row>
    <row r="303" spans="2:17" x14ac:dyDescent="0.25">
      <c r="B303" t="str">
        <f t="shared" si="28"/>
        <v>K-StrongMini fiók 89/400mm, csillapított részleges kihúzású sín 25kg, fehér</v>
      </c>
      <c r="C303" s="3" t="s">
        <v>2071</v>
      </c>
      <c r="D303" s="3" t="s">
        <v>2072</v>
      </c>
      <c r="E303" s="3" t="s">
        <v>2073</v>
      </c>
      <c r="F303" s="3" t="s">
        <v>2074</v>
      </c>
      <c r="G303" s="3" t="s">
        <v>2075</v>
      </c>
      <c r="H303" s="3" t="s">
        <v>2076</v>
      </c>
      <c r="I303" s="3" t="s">
        <v>1666</v>
      </c>
      <c r="K303" s="3" t="s">
        <v>477</v>
      </c>
      <c r="L303" s="87" t="s">
        <v>101</v>
      </c>
      <c r="M303" s="87" t="s">
        <v>373</v>
      </c>
      <c r="N303" s="87">
        <v>400</v>
      </c>
      <c r="O303" s="4" t="str">
        <f t="shared" si="29"/>
        <v>bílá_částečný výsuv_89_400</v>
      </c>
      <c r="P303" s="64" t="str">
        <f t="shared" si="30"/>
        <v>548489</v>
      </c>
      <c r="Q303" t="str">
        <f t="shared" si="31"/>
        <v>K-StrongMini fiók 89/400mm, csillapított részleges kihúzású sín 25kg, fehér</v>
      </c>
    </row>
    <row r="304" spans="2:17" x14ac:dyDescent="0.25">
      <c r="B304" t="str">
        <f t="shared" si="28"/>
        <v>K-StrongMini fiók 89/400mm, csillapított részleges kihúzású sín 25kg, szürke</v>
      </c>
      <c r="C304" s="3" t="s">
        <v>2077</v>
      </c>
      <c r="D304" s="3" t="s">
        <v>2078</v>
      </c>
      <c r="E304" s="3" t="s">
        <v>2079</v>
      </c>
      <c r="F304" s="3" t="s">
        <v>2080</v>
      </c>
      <c r="G304" s="3" t="s">
        <v>2081</v>
      </c>
      <c r="H304" s="3" t="s">
        <v>2082</v>
      </c>
      <c r="I304" s="3" t="s">
        <v>1666</v>
      </c>
      <c r="K304" s="3" t="s">
        <v>477</v>
      </c>
      <c r="L304" s="87" t="s">
        <v>109</v>
      </c>
      <c r="M304" s="87" t="s">
        <v>373</v>
      </c>
      <c r="N304" s="87">
        <v>400</v>
      </c>
      <c r="O304" s="4" t="str">
        <f t="shared" si="29"/>
        <v>šedá_částečný výsuv_89_400</v>
      </c>
      <c r="P304" s="64" t="str">
        <f t="shared" si="30"/>
        <v>548510</v>
      </c>
      <c r="Q304" t="str">
        <f t="shared" si="31"/>
        <v>K-StrongMini fiók 89/400mm, csillapított részleges kihúzású sín 25kg, szürke</v>
      </c>
    </row>
    <row r="305" spans="2:17" x14ac:dyDescent="0.25">
      <c r="B305" t="str">
        <f t="shared" si="28"/>
        <v>K-StrongMini fiók 89/400mm, csillapított teljes kihúzású sín 30kg, fehér</v>
      </c>
      <c r="C305" s="3" t="s">
        <v>2083</v>
      </c>
      <c r="D305" s="3" t="s">
        <v>2084</v>
      </c>
      <c r="E305" s="3" t="s">
        <v>2085</v>
      </c>
      <c r="F305" s="3" t="s">
        <v>2086</v>
      </c>
      <c r="G305" s="3" t="s">
        <v>2087</v>
      </c>
      <c r="H305" s="3" t="s">
        <v>2088</v>
      </c>
      <c r="I305" s="3" t="s">
        <v>1666</v>
      </c>
      <c r="K305" s="3" t="s">
        <v>477</v>
      </c>
      <c r="L305" s="87" t="s">
        <v>101</v>
      </c>
      <c r="M305" s="87" t="s">
        <v>368</v>
      </c>
      <c r="N305" s="87">
        <v>400</v>
      </c>
      <c r="O305" s="4" t="str">
        <f t="shared" si="29"/>
        <v>bílá_plnovýsuv_89_400</v>
      </c>
      <c r="P305" s="64" t="str">
        <f t="shared" si="30"/>
        <v>548531</v>
      </c>
      <c r="Q305" t="str">
        <f t="shared" si="31"/>
        <v>K-StrongMini fiók 89/400mm, csillapított teljes kihúzású sín 30kg, fehér</v>
      </c>
    </row>
    <row r="306" spans="2:17" x14ac:dyDescent="0.25">
      <c r="B306" t="str">
        <f t="shared" si="28"/>
        <v>K-StrongMini fiók 89/400mm, csillapított teljes kihúzású sín 30kg, szürke</v>
      </c>
      <c r="C306" s="3" t="s">
        <v>2089</v>
      </c>
      <c r="D306" s="3" t="s">
        <v>2090</v>
      </c>
      <c r="E306" s="3" t="s">
        <v>2091</v>
      </c>
      <c r="F306" s="3" t="s">
        <v>2092</v>
      </c>
      <c r="G306" s="3" t="s">
        <v>2093</v>
      </c>
      <c r="H306" s="3" t="s">
        <v>2094</v>
      </c>
      <c r="I306" s="3" t="s">
        <v>1666</v>
      </c>
      <c r="K306" s="3" t="s">
        <v>477</v>
      </c>
      <c r="L306" s="87" t="s">
        <v>109</v>
      </c>
      <c r="M306" s="87" t="s">
        <v>368</v>
      </c>
      <c r="N306" s="87">
        <v>400</v>
      </c>
      <c r="O306" s="4" t="str">
        <f t="shared" si="29"/>
        <v>šedá_plnovýsuv_89_400</v>
      </c>
      <c r="P306" s="64" t="str">
        <f t="shared" si="30"/>
        <v>548552</v>
      </c>
      <c r="Q306" t="str">
        <f t="shared" si="31"/>
        <v>K-StrongMini fiók 89/400mm, csillapított teljes kihúzású sín 30kg, szürke</v>
      </c>
    </row>
    <row r="307" spans="2:17" x14ac:dyDescent="0.25">
      <c r="B307" t="str">
        <f t="shared" si="28"/>
        <v>K-StrongMini fiók 89/450mm, csillapított részleges kihúzású sín 25kg, fehér</v>
      </c>
      <c r="C307" s="3" t="s">
        <v>2095</v>
      </c>
      <c r="D307" s="3" t="s">
        <v>2096</v>
      </c>
      <c r="E307" s="3" t="s">
        <v>2097</v>
      </c>
      <c r="F307" s="3" t="s">
        <v>2098</v>
      </c>
      <c r="G307" s="3" t="s">
        <v>2099</v>
      </c>
      <c r="H307" s="3" t="s">
        <v>2100</v>
      </c>
      <c r="I307" s="3" t="s">
        <v>1666</v>
      </c>
      <c r="K307" s="3" t="s">
        <v>477</v>
      </c>
      <c r="L307" s="87" t="s">
        <v>101</v>
      </c>
      <c r="M307" s="87" t="s">
        <v>373</v>
      </c>
      <c r="N307" s="87">
        <v>450</v>
      </c>
      <c r="O307" s="4" t="str">
        <f t="shared" si="29"/>
        <v>bílá_částečný výsuv_89_450</v>
      </c>
      <c r="P307" s="64" t="str">
        <f t="shared" si="30"/>
        <v>548490</v>
      </c>
      <c r="Q307" t="str">
        <f t="shared" si="31"/>
        <v>K-StrongMini fiók 89/450mm, csillapított részleges kihúzású sín 25kg, fehér</v>
      </c>
    </row>
    <row r="308" spans="2:17" x14ac:dyDescent="0.25">
      <c r="B308" t="str">
        <f t="shared" si="28"/>
        <v>K-StrongMini fiók 89/450mm, csillapított részleges kihúzású sín 25kg, szürke</v>
      </c>
      <c r="C308" s="3" t="s">
        <v>2101</v>
      </c>
      <c r="D308" s="3" t="s">
        <v>2102</v>
      </c>
      <c r="E308" s="3" t="s">
        <v>2103</v>
      </c>
      <c r="F308" s="3" t="s">
        <v>2104</v>
      </c>
      <c r="G308" s="3" t="s">
        <v>2105</v>
      </c>
      <c r="H308" s="3" t="s">
        <v>2106</v>
      </c>
      <c r="I308" s="3" t="s">
        <v>1666</v>
      </c>
      <c r="K308" s="3" t="s">
        <v>477</v>
      </c>
      <c r="L308" s="87" t="s">
        <v>109</v>
      </c>
      <c r="M308" s="87" t="s">
        <v>373</v>
      </c>
      <c r="N308" s="87">
        <v>450</v>
      </c>
      <c r="O308" s="4" t="str">
        <f t="shared" si="29"/>
        <v>šedá_částečný výsuv_89_450</v>
      </c>
      <c r="P308" s="64" t="str">
        <f t="shared" si="30"/>
        <v>548511</v>
      </c>
      <c r="Q308" t="str">
        <f t="shared" si="31"/>
        <v>K-StrongMini fiók 89/450mm, csillapított részleges kihúzású sín 25kg, szürke</v>
      </c>
    </row>
    <row r="309" spans="2:17" x14ac:dyDescent="0.25">
      <c r="B309" t="str">
        <f t="shared" si="28"/>
        <v>K-StrongMini fiók 89/450mm, csillapított teljes kihúzású sín 30kg, fehér</v>
      </c>
      <c r="C309" s="3" t="s">
        <v>2107</v>
      </c>
      <c r="D309" s="3" t="s">
        <v>2108</v>
      </c>
      <c r="E309" s="3" t="s">
        <v>2109</v>
      </c>
      <c r="F309" s="3" t="s">
        <v>2110</v>
      </c>
      <c r="G309" s="3" t="s">
        <v>2111</v>
      </c>
      <c r="H309" s="3" t="s">
        <v>2112</v>
      </c>
      <c r="I309" s="3" t="s">
        <v>1666</v>
      </c>
      <c r="K309" s="3" t="s">
        <v>477</v>
      </c>
      <c r="L309" s="87" t="s">
        <v>101</v>
      </c>
      <c r="M309" s="87" t="s">
        <v>368</v>
      </c>
      <c r="N309" s="87">
        <v>450</v>
      </c>
      <c r="O309" s="4" t="str">
        <f t="shared" si="29"/>
        <v>bílá_plnovýsuv_89_450</v>
      </c>
      <c r="P309" s="64" t="str">
        <f t="shared" si="30"/>
        <v>548532</v>
      </c>
      <c r="Q309" t="str">
        <f t="shared" si="31"/>
        <v>K-StrongMini fiók 89/450mm, csillapított teljes kihúzású sín 30kg, fehér</v>
      </c>
    </row>
    <row r="310" spans="2:17" x14ac:dyDescent="0.25">
      <c r="B310" t="str">
        <f t="shared" si="28"/>
        <v>K-StrongMini fiók 89/450mm, csillapított teljes kihúzású sín 30kg, szürke</v>
      </c>
      <c r="C310" s="3" t="s">
        <v>2113</v>
      </c>
      <c r="D310" s="3" t="s">
        <v>2114</v>
      </c>
      <c r="E310" s="3" t="s">
        <v>2115</v>
      </c>
      <c r="F310" s="3" t="s">
        <v>2116</v>
      </c>
      <c r="G310" s="3" t="s">
        <v>2117</v>
      </c>
      <c r="H310" s="3" t="s">
        <v>2118</v>
      </c>
      <c r="I310" s="3" t="s">
        <v>1666</v>
      </c>
      <c r="K310" s="3" t="s">
        <v>477</v>
      </c>
      <c r="L310" s="87" t="s">
        <v>109</v>
      </c>
      <c r="M310" s="87" t="s">
        <v>368</v>
      </c>
      <c r="N310" s="87">
        <v>450</v>
      </c>
      <c r="O310" s="4" t="str">
        <f t="shared" si="29"/>
        <v>šedá_plnovýsuv_89_450</v>
      </c>
      <c r="P310" s="64" t="str">
        <f t="shared" si="30"/>
        <v>548553</v>
      </c>
      <c r="Q310" t="str">
        <f t="shared" si="31"/>
        <v>K-StrongMini fiók 89/450mm, csillapított teljes kihúzású sín 30kg, szürke</v>
      </c>
    </row>
    <row r="311" spans="2:17" x14ac:dyDescent="0.25">
      <c r="B311" t="str">
        <f t="shared" si="28"/>
        <v>K-StrongMini fiók 89/500mm, csillapított részleges kihúzású sín 25kg, fehér</v>
      </c>
      <c r="C311" s="3" t="s">
        <v>2119</v>
      </c>
      <c r="D311" s="3" t="s">
        <v>2120</v>
      </c>
      <c r="E311" s="3" t="s">
        <v>2121</v>
      </c>
      <c r="F311" s="3" t="s">
        <v>2122</v>
      </c>
      <c r="G311" s="3" t="s">
        <v>2123</v>
      </c>
      <c r="H311" s="3" t="s">
        <v>2124</v>
      </c>
      <c r="I311" s="3" t="s">
        <v>1666</v>
      </c>
      <c r="K311" s="3" t="s">
        <v>477</v>
      </c>
      <c r="L311" s="87" t="s">
        <v>101</v>
      </c>
      <c r="M311" s="87" t="s">
        <v>373</v>
      </c>
      <c r="N311" s="87">
        <v>500</v>
      </c>
      <c r="O311" s="4" t="str">
        <f t="shared" si="29"/>
        <v>bílá_částečný výsuv_89_500</v>
      </c>
      <c r="P311" s="64" t="str">
        <f t="shared" si="30"/>
        <v>548491</v>
      </c>
      <c r="Q311" t="str">
        <f t="shared" si="31"/>
        <v>K-StrongMini fiók 89/500mm, csillapított részleges kihúzású sín 25kg, fehér</v>
      </c>
    </row>
    <row r="312" spans="2:17" x14ac:dyDescent="0.25">
      <c r="B312" t="str">
        <f t="shared" si="28"/>
        <v>K-StrongMini fiók 89/500mm, csillapított részleges kihúzású sín 25kg, szürke</v>
      </c>
      <c r="C312" s="3" t="s">
        <v>2125</v>
      </c>
      <c r="D312" s="3" t="s">
        <v>2126</v>
      </c>
      <c r="E312" s="3" t="s">
        <v>2127</v>
      </c>
      <c r="F312" s="3" t="s">
        <v>2128</v>
      </c>
      <c r="G312" s="3" t="s">
        <v>2129</v>
      </c>
      <c r="H312" s="3" t="s">
        <v>2130</v>
      </c>
      <c r="I312" s="3" t="s">
        <v>1666</v>
      </c>
      <c r="K312" s="3" t="s">
        <v>477</v>
      </c>
      <c r="L312" s="87" t="s">
        <v>109</v>
      </c>
      <c r="M312" s="87" t="s">
        <v>373</v>
      </c>
      <c r="N312" s="87">
        <v>500</v>
      </c>
      <c r="O312" s="4" t="str">
        <f t="shared" si="29"/>
        <v>šedá_částečný výsuv_89_500</v>
      </c>
      <c r="P312" s="64" t="str">
        <f t="shared" si="30"/>
        <v>548512</v>
      </c>
      <c r="Q312" t="str">
        <f t="shared" si="31"/>
        <v>K-StrongMini fiók 89/500mm, csillapított részleges kihúzású sín 25kg, szürke</v>
      </c>
    </row>
    <row r="313" spans="2:17" x14ac:dyDescent="0.25">
      <c r="B313" t="str">
        <f t="shared" si="28"/>
        <v>K-StrongMini fiók 89/500mm, csillapított teljes kihúzású sín 30kg, fehér</v>
      </c>
      <c r="C313" s="3" t="s">
        <v>2131</v>
      </c>
      <c r="D313" s="3" t="s">
        <v>2132</v>
      </c>
      <c r="E313" s="3" t="s">
        <v>2133</v>
      </c>
      <c r="F313" s="3" t="s">
        <v>2134</v>
      </c>
      <c r="G313" s="3" t="s">
        <v>2135</v>
      </c>
      <c r="H313" s="3" t="s">
        <v>2136</v>
      </c>
      <c r="I313" s="3" t="s">
        <v>1666</v>
      </c>
      <c r="K313" s="3" t="s">
        <v>477</v>
      </c>
      <c r="L313" s="87" t="s">
        <v>101</v>
      </c>
      <c r="M313" s="87" t="s">
        <v>368</v>
      </c>
      <c r="N313" s="87">
        <v>500</v>
      </c>
      <c r="O313" s="4" t="str">
        <f t="shared" si="29"/>
        <v>bílá_plnovýsuv_89_500</v>
      </c>
      <c r="P313" s="64" t="str">
        <f t="shared" si="30"/>
        <v>548533</v>
      </c>
      <c r="Q313" t="str">
        <f t="shared" si="31"/>
        <v>K-StrongMini fiók 89/500mm, csillapított teljes kihúzású sín 30kg, fehér</v>
      </c>
    </row>
    <row r="314" spans="2:17" x14ac:dyDescent="0.25">
      <c r="B314" t="str">
        <f t="shared" si="28"/>
        <v>K-StrongMini fiók 89/500mm, csillapított teljes kihúzású sín 30kg, szürke</v>
      </c>
      <c r="C314" s="3" t="s">
        <v>2137</v>
      </c>
      <c r="D314" s="3" t="s">
        <v>2138</v>
      </c>
      <c r="E314" s="3" t="s">
        <v>2139</v>
      </c>
      <c r="F314" s="3" t="s">
        <v>2140</v>
      </c>
      <c r="G314" s="3" t="s">
        <v>2141</v>
      </c>
      <c r="H314" s="3" t="s">
        <v>2142</v>
      </c>
      <c r="I314" s="3" t="s">
        <v>1666</v>
      </c>
      <c r="K314" s="3" t="s">
        <v>477</v>
      </c>
      <c r="L314" s="87" t="s">
        <v>109</v>
      </c>
      <c r="M314" s="87" t="s">
        <v>368</v>
      </c>
      <c r="N314" s="87">
        <v>500</v>
      </c>
      <c r="O314" s="4" t="str">
        <f t="shared" si="29"/>
        <v>šedá_plnovýsuv_89_500</v>
      </c>
      <c r="P314" s="64" t="str">
        <f t="shared" si="30"/>
        <v>548554</v>
      </c>
      <c r="Q314" t="str">
        <f t="shared" si="31"/>
        <v>K-StrongMini fiók 89/500mm, csillapított teljes kihúzású sín 30kg, szürke</v>
      </c>
    </row>
    <row r="315" spans="2:17" x14ac:dyDescent="0.25">
      <c r="B315" t="str">
        <f t="shared" si="28"/>
        <v>K-StrongMini fiók 89/550mm, csillapított részleges kihúzású sín 25kg, fehér</v>
      </c>
      <c r="C315" s="3" t="s">
        <v>2143</v>
      </c>
      <c r="D315" s="3" t="s">
        <v>2144</v>
      </c>
      <c r="E315" s="3" t="s">
        <v>2145</v>
      </c>
      <c r="F315" s="3" t="s">
        <v>2146</v>
      </c>
      <c r="G315" s="3" t="s">
        <v>2147</v>
      </c>
      <c r="H315" s="3" t="s">
        <v>2148</v>
      </c>
      <c r="I315" s="3" t="s">
        <v>1666</v>
      </c>
      <c r="K315" s="3" t="s">
        <v>477</v>
      </c>
      <c r="L315" s="87" t="s">
        <v>101</v>
      </c>
      <c r="M315" s="87" t="s">
        <v>373</v>
      </c>
      <c r="N315" s="87">
        <v>550</v>
      </c>
      <c r="O315" s="4" t="str">
        <f t="shared" si="29"/>
        <v>bílá_částečný výsuv_89_550</v>
      </c>
      <c r="P315" s="64" t="str">
        <f t="shared" si="30"/>
        <v>548492</v>
      </c>
      <c r="Q315" t="str">
        <f t="shared" si="31"/>
        <v>K-StrongMini fiók 89/550mm, csillapított részleges kihúzású sín 25kg, fehér</v>
      </c>
    </row>
    <row r="316" spans="2:17" x14ac:dyDescent="0.25">
      <c r="B316" t="str">
        <f t="shared" si="28"/>
        <v>K-StrongMini fiók 89/550mm, csillapított részleges kihúzású sín 25kg, szürke</v>
      </c>
      <c r="C316" s="3" t="s">
        <v>2149</v>
      </c>
      <c r="D316" s="3" t="s">
        <v>2150</v>
      </c>
      <c r="E316" s="3" t="s">
        <v>2151</v>
      </c>
      <c r="F316" s="3" t="s">
        <v>2152</v>
      </c>
      <c r="G316" s="3" t="s">
        <v>2153</v>
      </c>
      <c r="H316" s="3" t="s">
        <v>2154</v>
      </c>
      <c r="I316" s="3" t="s">
        <v>1666</v>
      </c>
      <c r="K316" s="3" t="s">
        <v>477</v>
      </c>
      <c r="L316" s="87" t="s">
        <v>109</v>
      </c>
      <c r="M316" s="87" t="s">
        <v>373</v>
      </c>
      <c r="N316" s="87">
        <v>550</v>
      </c>
      <c r="O316" s="4" t="str">
        <f t="shared" si="29"/>
        <v>šedá_částečný výsuv_89_550</v>
      </c>
      <c r="P316" s="64" t="str">
        <f t="shared" si="30"/>
        <v>548513</v>
      </c>
      <c r="Q316" t="str">
        <f t="shared" si="31"/>
        <v>K-StrongMini fiók 89/550mm, csillapított részleges kihúzású sín 25kg, szürke</v>
      </c>
    </row>
    <row r="317" spans="2:17" x14ac:dyDescent="0.25">
      <c r="B317" t="str">
        <f t="shared" si="28"/>
        <v>K-StrongMini fiók 89/550mm, csillapított teljes kihúzású sín 30kg, fehér</v>
      </c>
      <c r="C317" s="3" t="s">
        <v>2155</v>
      </c>
      <c r="D317" s="3" t="s">
        <v>2156</v>
      </c>
      <c r="E317" s="3" t="s">
        <v>2157</v>
      </c>
      <c r="F317" s="3" t="s">
        <v>2158</v>
      </c>
      <c r="G317" s="3" t="s">
        <v>2159</v>
      </c>
      <c r="H317" s="3" t="s">
        <v>2160</v>
      </c>
      <c r="I317" s="3" t="s">
        <v>1666</v>
      </c>
      <c r="K317" s="3" t="s">
        <v>477</v>
      </c>
      <c r="L317" s="87" t="s">
        <v>101</v>
      </c>
      <c r="M317" s="87" t="s">
        <v>368</v>
      </c>
      <c r="N317" s="87">
        <v>550</v>
      </c>
      <c r="O317" s="4" t="str">
        <f t="shared" si="29"/>
        <v>bílá_plnovýsuv_89_550</v>
      </c>
      <c r="P317" s="64" t="str">
        <f t="shared" si="30"/>
        <v>548534</v>
      </c>
      <c r="Q317" t="str">
        <f t="shared" si="31"/>
        <v>K-StrongMini fiók 89/550mm, csillapított teljes kihúzású sín 30kg, fehér</v>
      </c>
    </row>
    <row r="318" spans="2:17" x14ac:dyDescent="0.25">
      <c r="B318" t="str">
        <f t="shared" si="28"/>
        <v>K-StrongMini fiók 89/550mm, csillapított teljes kihúzású sín 30kg, szürke</v>
      </c>
      <c r="C318" s="3" t="s">
        <v>2161</v>
      </c>
      <c r="D318" s="3" t="s">
        <v>2162</v>
      </c>
      <c r="E318" s="3" t="s">
        <v>2163</v>
      </c>
      <c r="F318" s="3" t="s">
        <v>2164</v>
      </c>
      <c r="G318" s="3" t="s">
        <v>2165</v>
      </c>
      <c r="H318" s="3" t="s">
        <v>2166</v>
      </c>
      <c r="I318" s="3" t="s">
        <v>1666</v>
      </c>
      <c r="K318" s="3" t="s">
        <v>477</v>
      </c>
      <c r="L318" s="87" t="s">
        <v>109</v>
      </c>
      <c r="M318" s="87" t="s">
        <v>368</v>
      </c>
      <c r="N318" s="87">
        <v>550</v>
      </c>
      <c r="O318" s="4" t="str">
        <f t="shared" si="29"/>
        <v>šedá_plnovýsuv_89_550</v>
      </c>
      <c r="P318" s="64" t="str">
        <f t="shared" si="30"/>
        <v>548555</v>
      </c>
      <c r="Q318" t="str">
        <f t="shared" si="31"/>
        <v>K-StrongMini fiók 89/550mm, csillapított teljes kihúzású sín 30kg, szürke</v>
      </c>
    </row>
    <row r="319" spans="2:17" x14ac:dyDescent="0.25">
      <c r="M319" s="87"/>
    </row>
    <row r="320" spans="2:17" x14ac:dyDescent="0.25">
      <c r="M320" s="87"/>
    </row>
    <row r="321" spans="2:13" x14ac:dyDescent="0.25">
      <c r="M321" s="87"/>
    </row>
    <row r="322" spans="2:13" x14ac:dyDescent="0.25">
      <c r="M322" s="87"/>
    </row>
    <row r="326" spans="2:13" x14ac:dyDescent="0.25">
      <c r="B326" t="str">
        <f>IF($D$1=1,D:D,IF($D$1=2,E:E,IF($D$1=3,F:F,IF($D$1=4,G:G,IF($D$1=5,H:H)))))</f>
        <v>StrongMax 16/18 fiókfront jelző H185 universal</v>
      </c>
      <c r="C326">
        <v>512876</v>
      </c>
      <c r="D326" s="88" t="s">
        <v>2167</v>
      </c>
      <c r="E326" s="88" t="s">
        <v>2168</v>
      </c>
      <c r="F326" s="88" t="s">
        <v>2178</v>
      </c>
      <c r="G326" s="88" t="s">
        <v>2169</v>
      </c>
      <c r="H326" s="88" t="s">
        <v>2170</v>
      </c>
    </row>
    <row r="327" spans="2:13" x14ac:dyDescent="0.25">
      <c r="B327" t="str">
        <f>IF($D$1=1,D:D,IF($D$1=2,E:E,IF($D$1=3,F:F,IF($D$1=4,G:G,IF($D$1=5,H:H)))))</f>
        <v>StrongMax 16/18 fiókfront jelző H89/H121 universal</v>
      </c>
      <c r="C327">
        <v>512874</v>
      </c>
      <c r="D327" s="88" t="s">
        <v>2171</v>
      </c>
      <c r="E327" s="88" t="s">
        <v>2172</v>
      </c>
      <c r="F327" s="88" t="s">
        <v>2177</v>
      </c>
      <c r="G327" s="88" t="s">
        <v>2173</v>
      </c>
      <c r="H327" s="88" t="s">
        <v>2174</v>
      </c>
    </row>
  </sheetData>
  <autoFilter ref="K2:Q97" xr:uid="{A6948DF1-249B-4F57-85A8-C987E8218659}"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10FA-CE07-41F0-8979-DADD702782E1}">
  <sheetPr codeName="List10"/>
  <dimension ref="B2:I15"/>
  <sheetViews>
    <sheetView workbookViewId="0"/>
  </sheetViews>
  <sheetFormatPr defaultRowHeight="15" x14ac:dyDescent="0.25"/>
  <cols>
    <col min="2" max="2" width="13.28515625" bestFit="1" customWidth="1"/>
  </cols>
  <sheetData>
    <row r="2" spans="2:9" x14ac:dyDescent="0.25">
      <c r="C2" t="s">
        <v>2175</v>
      </c>
      <c r="D2" t="s">
        <v>2176</v>
      </c>
      <c r="I2">
        <v>155</v>
      </c>
    </row>
    <row r="3" spans="2:9" x14ac:dyDescent="0.25">
      <c r="C3">
        <v>113</v>
      </c>
      <c r="D3">
        <v>144</v>
      </c>
      <c r="F3">
        <v>89</v>
      </c>
      <c r="G3" s="4"/>
      <c r="H3" s="4"/>
      <c r="I3" s="4"/>
    </row>
    <row r="4" spans="2:9" x14ac:dyDescent="0.25">
      <c r="C4">
        <v>145</v>
      </c>
      <c r="D4">
        <v>208</v>
      </c>
      <c r="F4">
        <v>121</v>
      </c>
    </row>
    <row r="5" spans="2:9" x14ac:dyDescent="0.25">
      <c r="C5">
        <v>209</v>
      </c>
      <c r="D5">
        <v>272</v>
      </c>
      <c r="F5">
        <v>185</v>
      </c>
    </row>
    <row r="6" spans="2:9" x14ac:dyDescent="0.25">
      <c r="C6">
        <v>207</v>
      </c>
      <c r="D6">
        <v>272</v>
      </c>
      <c r="E6" t="s">
        <v>275</v>
      </c>
      <c r="F6">
        <v>185</v>
      </c>
    </row>
    <row r="7" spans="2:9" x14ac:dyDescent="0.25">
      <c r="C7">
        <v>273</v>
      </c>
      <c r="F7">
        <v>249</v>
      </c>
    </row>
    <row r="8" spans="2:9" x14ac:dyDescent="0.25">
      <c r="B8" s="4"/>
    </row>
    <row r="9" spans="2:9" x14ac:dyDescent="0.25">
      <c r="B9" s="4"/>
    </row>
    <row r="10" spans="2:9" x14ac:dyDescent="0.25">
      <c r="B10" s="4"/>
    </row>
    <row r="11" spans="2:9" x14ac:dyDescent="0.25">
      <c r="B11" s="4"/>
    </row>
    <row r="12" spans="2:9" x14ac:dyDescent="0.25">
      <c r="B12" s="4"/>
    </row>
    <row r="13" spans="2:9" x14ac:dyDescent="0.25">
      <c r="B13" s="4"/>
    </row>
    <row r="14" spans="2:9" x14ac:dyDescent="0.25">
      <c r="B14" s="4"/>
    </row>
    <row r="15" spans="2:9" x14ac:dyDescent="0.25">
      <c r="B15" s="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161BE-7E2F-4ECF-BA77-AC561D5E0F2E}">
  <sheetPr codeName="List8"/>
  <dimension ref="A1:W39"/>
  <sheetViews>
    <sheetView showGridLines="0" showRowColHeaders="0" workbookViewId="0"/>
  </sheetViews>
  <sheetFormatPr defaultColWidth="0" defaultRowHeight="15" customHeight="1" zeroHeight="1" x14ac:dyDescent="0.25"/>
  <cols>
    <col min="1" max="1" width="4" style="6" customWidth="1"/>
    <col min="2" max="3" width="8.85546875" style="6" customWidth="1"/>
    <col min="4" max="4" width="6.7109375" style="6" customWidth="1"/>
    <col min="5" max="11" width="8.85546875" style="6" customWidth="1"/>
    <col min="12" max="12" width="12.5703125" style="6" customWidth="1"/>
    <col min="13" max="13" width="18.7109375" style="6" customWidth="1"/>
    <col min="14" max="14" width="15.140625" style="6" customWidth="1"/>
    <col min="15" max="15" width="16.85546875" style="6" customWidth="1"/>
    <col min="16" max="16" width="8.85546875" style="6" customWidth="1"/>
    <col min="17" max="17" width="6.7109375" style="6" customWidth="1"/>
    <col min="18" max="20" width="8.85546875" style="6" customWidth="1"/>
    <col min="21" max="22" width="8.85546875" style="6" hidden="1" customWidth="1"/>
    <col min="23" max="23" width="17.140625" style="6" hidden="1" customWidth="1"/>
    <col min="24" max="16384" width="8.85546875" style="6" hidden="1"/>
  </cols>
  <sheetData>
    <row r="1" spans="1:2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23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  <c r="Q2" s="289" t="str">
        <f>Překlady!C7</f>
        <v>Bevezetés</v>
      </c>
      <c r="R2" s="255"/>
      <c r="S2" s="255"/>
      <c r="W2" s="6" t="b">
        <f>P30</f>
        <v>0</v>
      </c>
    </row>
    <row r="3" spans="1:23" ht="10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  <c r="Q3" s="289"/>
      <c r="R3" s="255"/>
      <c r="S3" s="255"/>
    </row>
    <row r="4" spans="1:23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23" x14ac:dyDescent="0.25">
      <c r="A5" s="10"/>
      <c r="B5" s="10"/>
      <c r="C5" s="10"/>
      <c r="D5" s="10"/>
      <c r="F5" s="10"/>
      <c r="G5" s="10"/>
    </row>
    <row r="6" spans="1:23" ht="21" x14ac:dyDescent="0.35">
      <c r="C6" s="32" t="str">
        <f>Překlady!C74</f>
        <v>Helyes megrendelésének feltételei és ajánlásai</v>
      </c>
      <c r="S6" s="7"/>
    </row>
    <row r="7" spans="1:23" x14ac:dyDescent="0.25"/>
    <row r="8" spans="1:23" ht="17.25" customHeight="1" x14ac:dyDescent="0.25">
      <c r="C8" s="6" t="str">
        <f>Překlady!C39</f>
        <v>Mindig használja a legfrissebb megrendelő lapot, amelyet megtalál a weboldalunkon.</v>
      </c>
    </row>
    <row r="9" spans="1:23" ht="6.75" customHeight="1" x14ac:dyDescent="0.25"/>
    <row r="10" spans="1:23" ht="17.25" customHeight="1" x14ac:dyDescent="0.25">
      <c r="C10" s="6" t="str">
        <f>Překlady!C54</f>
        <v xml:space="preserve">Az űrlap kitöltésénél mindig haladjon fentről lefelé. Amennyiben bármilyen változtatást hajt végre az űrlapon, ellenőrizze az összes adatot, hogy rendben vannak-e. </v>
      </c>
    </row>
    <row r="11" spans="1:23" ht="6.75" customHeight="1" x14ac:dyDescent="0.25"/>
    <row r="12" spans="1:23" ht="33.75" customHeight="1" x14ac:dyDescent="0.25">
      <c r="C12" s="295" t="str">
        <f>Překlady!C50</f>
        <v>Ez a űrlap a frontmagasságok, a fióksínek és a frontok furatainak kiszámításához nyújt segítséget. Bizonyos esetekben a számítások nem feltétlenül pontosak, és a Démos Trade nem vállal felelősséget az űrlap által okozott károkért.</v>
      </c>
      <c r="D12" s="295"/>
      <c r="E12" s="295"/>
      <c r="F12" s="295"/>
      <c r="G12" s="295"/>
      <c r="H12" s="295"/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19"/>
    </row>
    <row r="13" spans="1:23" ht="6.75" customHeight="1" x14ac:dyDescent="0.25"/>
    <row r="14" spans="1:23" ht="17.25" customHeight="1" x14ac:dyDescent="0.25">
      <c r="C14" s="6" t="str">
        <f>Překlady!C55&amp;Překlady!C56</f>
        <v>A kitöltött megrendelést küldje el a következő címre: megrendelesek@demos-trade.com</v>
      </c>
    </row>
    <row r="15" spans="1:23" ht="6.75" customHeight="1" x14ac:dyDescent="0.25"/>
    <row r="16" spans="1:23" ht="17.25" customHeight="1" x14ac:dyDescent="0.25"/>
    <row r="17" spans="2:19" ht="6.75" customHeight="1" x14ac:dyDescent="0.25"/>
    <row r="18" spans="2:19" ht="17.25" customHeight="1" x14ac:dyDescent="0.35">
      <c r="D18" s="32" t="str">
        <f>Překlady!C75</f>
        <v>A munka egyszerűsítésére …</v>
      </c>
    </row>
    <row r="19" spans="2:19" ht="17.25" customHeight="1" x14ac:dyDescent="0.25"/>
    <row r="20" spans="2:19" ht="17.25" customHeight="1" x14ac:dyDescent="0.25">
      <c r="C20" s="34">
        <v>396273</v>
      </c>
      <c r="D20" s="6" t="str">
        <f>Karty!B98</f>
        <v>STRONG fióksín jelölő sablon nemesacél</v>
      </c>
      <c r="L20" s="170">
        <v>512874</v>
      </c>
      <c r="M20" s="296" t="str">
        <f>Karty!B327</f>
        <v>StrongMax 16/18 fiókfront jelző H89/H121 universal</v>
      </c>
      <c r="N20" s="296"/>
      <c r="O20" s="170">
        <v>512876</v>
      </c>
      <c r="P20" s="296" t="str">
        <f>Karty!B326</f>
        <v>StrongMax 16/18 fiókfront jelző H185 universal</v>
      </c>
      <c r="Q20" s="296"/>
      <c r="R20" s="296"/>
      <c r="S20" s="296"/>
    </row>
    <row r="21" spans="2:19" ht="17.25" customHeight="1" x14ac:dyDescent="0.25">
      <c r="M21" s="296"/>
      <c r="N21" s="296"/>
      <c r="P21" s="296"/>
      <c r="Q21" s="296"/>
      <c r="R21" s="296"/>
      <c r="S21" s="296"/>
    </row>
    <row r="22" spans="2:19" ht="17.25" customHeight="1" x14ac:dyDescent="0.25"/>
    <row r="23" spans="2:19" ht="18" customHeight="1" x14ac:dyDescent="0.25">
      <c r="L23"/>
      <c r="O23"/>
    </row>
    <row r="24" spans="2:19" ht="15" customHeight="1" x14ac:dyDescent="0.25"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2:19" ht="30.75" customHeight="1" x14ac:dyDescent="0.25"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2:19" ht="15" customHeight="1" x14ac:dyDescent="0.25"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2:19" ht="15" customHeight="1" x14ac:dyDescent="0.25"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2:19" ht="15" customHeight="1" x14ac:dyDescent="0.25"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</row>
    <row r="29" spans="2:19" ht="45" customHeight="1" thickBot="1" x14ac:dyDescent="0.3"/>
    <row r="30" spans="2:19" ht="15.75" customHeight="1" x14ac:dyDescent="0.25">
      <c r="B30" s="289" t="str">
        <f>Překlady!C52</f>
        <v>Vissza</v>
      </c>
      <c r="C30" s="255"/>
      <c r="E30" s="290" t="str">
        <f>Překlady!C51</f>
        <v>Megerősítem, hogy megértettem és elfogadom a fenti feltételeket és ajánlásokat:</v>
      </c>
      <c r="F30" s="290"/>
      <c r="G30" s="290"/>
      <c r="H30" s="290"/>
      <c r="I30" s="290"/>
      <c r="J30" s="290"/>
      <c r="K30" s="290"/>
      <c r="L30" s="290"/>
      <c r="M30" s="290"/>
      <c r="N30" s="290"/>
      <c r="O30" s="291"/>
      <c r="P30" s="292" t="b">
        <v>0</v>
      </c>
      <c r="R30" s="289" t="str">
        <f>Překlady!C8</f>
        <v>Következő</v>
      </c>
      <c r="S30" s="255"/>
    </row>
    <row r="31" spans="2:19" ht="15.75" customHeight="1" thickBot="1" x14ac:dyDescent="0.3">
      <c r="B31" s="289"/>
      <c r="C31" s="255"/>
      <c r="E31" s="290"/>
      <c r="F31" s="290"/>
      <c r="G31" s="290"/>
      <c r="H31" s="290"/>
      <c r="I31" s="290"/>
      <c r="J31" s="290"/>
      <c r="K31" s="290"/>
      <c r="L31" s="290"/>
      <c r="M31" s="290"/>
      <c r="N31" s="290"/>
      <c r="O31" s="291"/>
      <c r="P31" s="293"/>
      <c r="R31" s="289"/>
      <c r="S31" s="255"/>
    </row>
    <row r="32" spans="2:19" x14ac:dyDescent="0.25">
      <c r="E32" s="1"/>
      <c r="F32" s="1"/>
      <c r="G32" s="1"/>
      <c r="H32" s="1"/>
      <c r="I32" s="1"/>
      <c r="J32" s="1"/>
      <c r="K32" s="1"/>
      <c r="L32" s="1"/>
      <c r="M32" s="1"/>
    </row>
    <row r="33" spans="5:16" hidden="1" x14ac:dyDescent="0.25"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5:16" hidden="1" x14ac:dyDescent="0.25"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5:16" hidden="1" x14ac:dyDescent="0.25"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5:16" hidden="1" x14ac:dyDescent="0.25"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8" spans="5:16" hidden="1" x14ac:dyDescent="0.25"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5:16" hidden="1" x14ac:dyDescent="0.25"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</sheetData>
  <sheetProtection algorithmName="SHA-512" hashValue="iWWcyDx6cunLks+A5X2VPkUMG0rq79hL1k9MRfv+CJVCnmVg18ZihgQDVCayEuoy/xhF3oeUp/tQA+CHGALOaQ==" saltValue="l2ZRAq5ozcY6Me/dx3XxAw==" spinCount="100000" sheet="1" selectLockedCells="1"/>
  <mergeCells count="9">
    <mergeCell ref="B30:C31"/>
    <mergeCell ref="Q2:S3"/>
    <mergeCell ref="E30:O31"/>
    <mergeCell ref="P30:P31"/>
    <mergeCell ref="R30:S31"/>
    <mergeCell ref="E28:P28"/>
    <mergeCell ref="C12:R12"/>
    <mergeCell ref="M20:N21"/>
    <mergeCell ref="P20:S21"/>
  </mergeCells>
  <conditionalFormatting sqref="R30:S31">
    <cfRule type="expression" dxfId="195" priority="1">
      <formula>W2=FALSE</formula>
    </cfRule>
  </conditionalFormatting>
  <hyperlinks>
    <hyperlink ref="B30:C31" location="Úvod!A1" display="Úvod!A1" xr:uid="{498EC4BC-1AC0-4A5F-BEDF-3A655F140DD7}"/>
    <hyperlink ref="R30:S31" location="Menu!A1" display="Menu!A1" xr:uid="{A162A66D-3ED5-4248-9C67-38DBCA874D7E}"/>
    <hyperlink ref="Q2:S3" location="Úvod!A1" display="Úvod!A1" xr:uid="{07E1EDCA-1FF3-4536-9697-6C915C446B23}"/>
  </hyperlink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85BD-3FCC-4829-871D-0B1A5390B254}">
  <sheetPr codeName="List2"/>
  <dimension ref="A1:W39"/>
  <sheetViews>
    <sheetView showGridLines="0" showRowColHeaders="0" workbookViewId="0"/>
  </sheetViews>
  <sheetFormatPr defaultColWidth="0" defaultRowHeight="0" customHeight="1" zeroHeight="1" x14ac:dyDescent="0.25"/>
  <cols>
    <col min="1" max="1" width="4" style="81" customWidth="1"/>
    <col min="2" max="3" width="8.85546875" style="81" customWidth="1"/>
    <col min="4" max="4" width="6.7109375" style="81" customWidth="1"/>
    <col min="5" max="13" width="8.85546875" style="81" customWidth="1"/>
    <col min="14" max="14" width="15.140625" style="81" customWidth="1"/>
    <col min="15" max="15" width="8.85546875" style="81" customWidth="1"/>
    <col min="16" max="16" width="16.7109375" style="81" customWidth="1"/>
    <col min="17" max="17" width="6.7109375" style="81" customWidth="1"/>
    <col min="18" max="20" width="8.85546875" style="81" customWidth="1"/>
    <col min="21" max="22" width="8.85546875" style="81" hidden="1" customWidth="1"/>
    <col min="23" max="23" width="17.140625" style="81" hidden="1" customWidth="1"/>
    <col min="24" max="16384" width="8.85546875" style="81" hidden="1"/>
  </cols>
  <sheetData>
    <row r="1" spans="1:20" ht="15.75" x14ac:dyDescent="0.2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20" ht="15.75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3"/>
      <c r="Q2" s="289" t="str">
        <f>Překlady!C7</f>
        <v>Bevezetés</v>
      </c>
      <c r="R2" s="255"/>
      <c r="S2" s="255"/>
      <c r="T2" s="255"/>
    </row>
    <row r="3" spans="1:20" ht="10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3"/>
      <c r="Q3" s="289"/>
      <c r="R3" s="255"/>
      <c r="S3" s="255"/>
      <c r="T3" s="255"/>
    </row>
    <row r="4" spans="1:20" ht="15.75" x14ac:dyDescent="0.25"/>
    <row r="5" spans="1:20" ht="21" x14ac:dyDescent="0.35">
      <c r="E5" s="84"/>
      <c r="O5" s="297"/>
      <c r="P5" s="298"/>
      <c r="Q5" s="298"/>
      <c r="R5" s="298"/>
      <c r="S5" s="299"/>
    </row>
    <row r="6" spans="1:20" ht="15" customHeight="1" x14ac:dyDescent="0.25">
      <c r="B6" s="300" t="s">
        <v>1</v>
      </c>
      <c r="C6" s="301"/>
      <c r="D6" s="302"/>
      <c r="E6" s="205"/>
      <c r="F6" s="196"/>
      <c r="G6" s="196"/>
      <c r="H6" s="196"/>
      <c r="I6" s="197"/>
      <c r="J6" s="196"/>
      <c r="K6" s="196"/>
      <c r="L6" s="196"/>
      <c r="M6" s="196"/>
      <c r="N6" s="196"/>
      <c r="O6" s="31"/>
      <c r="P6" s="31"/>
      <c r="Q6" s="31"/>
      <c r="R6" s="31"/>
      <c r="S6" s="212"/>
    </row>
    <row r="7" spans="1:20" ht="15" customHeight="1" x14ac:dyDescent="0.25">
      <c r="B7" s="303"/>
      <c r="C7" s="304"/>
      <c r="D7" s="305"/>
      <c r="E7" s="206"/>
      <c r="O7"/>
      <c r="P7"/>
      <c r="Q7"/>
      <c r="R7"/>
      <c r="S7" s="126"/>
    </row>
    <row r="8" spans="1:20" ht="15" customHeight="1" x14ac:dyDescent="0.25">
      <c r="B8" s="303"/>
      <c r="C8" s="304"/>
      <c r="D8" s="305"/>
      <c r="E8" s="206"/>
      <c r="O8"/>
      <c r="P8"/>
      <c r="Q8"/>
      <c r="R8"/>
      <c r="S8" s="126"/>
    </row>
    <row r="9" spans="1:20" ht="15" customHeight="1" x14ac:dyDescent="0.25">
      <c r="B9" s="303"/>
      <c r="C9" s="304"/>
      <c r="D9" s="305"/>
      <c r="E9" s="206"/>
      <c r="O9"/>
      <c r="P9"/>
      <c r="Q9"/>
      <c r="R9"/>
      <c r="S9" s="126"/>
    </row>
    <row r="10" spans="1:20" ht="15" customHeight="1" x14ac:dyDescent="0.25">
      <c r="B10" s="303"/>
      <c r="C10" s="304"/>
      <c r="D10" s="305"/>
      <c r="E10" s="206"/>
      <c r="O10"/>
      <c r="P10" s="309" t="str">
        <f>Překlady!C116&amp;" StrongMax"&amp;" -&gt;"</f>
        <v>Konfigurátor StrongMax -&gt;</v>
      </c>
      <c r="Q10" s="309"/>
      <c r="R10" s="309"/>
      <c r="S10" s="126"/>
    </row>
    <row r="11" spans="1:20" ht="15" customHeight="1" x14ac:dyDescent="0.25">
      <c r="B11" s="303"/>
      <c r="C11" s="304"/>
      <c r="D11" s="305"/>
      <c r="E11" s="206"/>
      <c r="O11"/>
      <c r="P11" s="309"/>
      <c r="Q11" s="309"/>
      <c r="R11" s="309"/>
      <c r="S11" s="126"/>
    </row>
    <row r="12" spans="1:20" ht="15" customHeight="1" x14ac:dyDescent="0.25">
      <c r="B12" s="303"/>
      <c r="C12" s="304"/>
      <c r="D12" s="305"/>
      <c r="E12" s="206"/>
      <c r="O12"/>
      <c r="P12" s="309"/>
      <c r="Q12" s="309"/>
      <c r="R12" s="309"/>
      <c r="S12" s="126"/>
    </row>
    <row r="13" spans="1:20" ht="15" customHeight="1" x14ac:dyDescent="0.25">
      <c r="B13" s="303"/>
      <c r="C13" s="304"/>
      <c r="D13" s="305"/>
      <c r="E13" s="206"/>
      <c r="O13"/>
      <c r="P13" s="309"/>
      <c r="Q13" s="309"/>
      <c r="R13" s="309"/>
      <c r="S13" s="126"/>
    </row>
    <row r="14" spans="1:20" ht="15" customHeight="1" x14ac:dyDescent="0.25">
      <c r="B14" s="303"/>
      <c r="C14" s="304"/>
      <c r="D14" s="305"/>
      <c r="E14" s="206"/>
      <c r="O14"/>
      <c r="P14"/>
      <c r="Q14"/>
      <c r="R14"/>
      <c r="S14" s="126"/>
    </row>
    <row r="15" spans="1:20" ht="15" customHeight="1" x14ac:dyDescent="0.25">
      <c r="B15" s="303"/>
      <c r="C15" s="304"/>
      <c r="D15" s="305"/>
      <c r="E15" s="206"/>
      <c r="O15"/>
      <c r="P15"/>
      <c r="Q15"/>
      <c r="R15"/>
      <c r="S15" s="126"/>
    </row>
    <row r="16" spans="1:20" ht="15" customHeight="1" x14ac:dyDescent="0.25">
      <c r="B16" s="303"/>
      <c r="C16" s="304"/>
      <c r="D16" s="305"/>
      <c r="E16" s="206"/>
      <c r="O16"/>
      <c r="P16"/>
      <c r="Q16"/>
      <c r="R16"/>
      <c r="S16" s="126"/>
    </row>
    <row r="17" spans="2:19" ht="15" customHeight="1" x14ac:dyDescent="0.25">
      <c r="B17" s="306"/>
      <c r="C17" s="307"/>
      <c r="D17" s="308"/>
      <c r="E17" s="207"/>
      <c r="F17" s="198"/>
      <c r="G17" s="198"/>
      <c r="H17" s="198"/>
      <c r="I17" s="198"/>
      <c r="J17" s="198"/>
      <c r="K17" s="198"/>
      <c r="L17" s="198"/>
      <c r="M17" s="198"/>
      <c r="N17" s="198"/>
      <c r="O17" s="114"/>
      <c r="P17" s="114"/>
      <c r="Q17" s="114"/>
      <c r="R17" s="114"/>
      <c r="S17" s="213"/>
    </row>
    <row r="18" spans="2:19" ht="15" customHeight="1" x14ac:dyDescent="0.25">
      <c r="B18" s="300" t="s">
        <v>2</v>
      </c>
      <c r="C18" s="301"/>
      <c r="D18" s="302"/>
      <c r="E18" s="205"/>
      <c r="F18" s="196"/>
      <c r="G18" s="196"/>
      <c r="H18" s="196"/>
      <c r="I18" s="196"/>
      <c r="J18" s="196"/>
      <c r="K18" s="196"/>
      <c r="L18" s="196"/>
      <c r="M18" s="196"/>
      <c r="N18" s="196"/>
      <c r="O18"/>
      <c r="P18"/>
      <c r="Q18" s="196"/>
      <c r="R18" s="196"/>
      <c r="S18" s="214"/>
    </row>
    <row r="19" spans="2:19" ht="15" customHeight="1" x14ac:dyDescent="0.25">
      <c r="B19" s="303"/>
      <c r="C19" s="304"/>
      <c r="D19" s="305"/>
      <c r="E19" s="206"/>
      <c r="O19"/>
      <c r="P19"/>
      <c r="S19" s="215"/>
    </row>
    <row r="20" spans="2:19" ht="15" customHeight="1" x14ac:dyDescent="0.25">
      <c r="B20" s="303"/>
      <c r="C20" s="304"/>
      <c r="D20" s="305"/>
      <c r="E20" s="206"/>
      <c r="O20"/>
      <c r="P20"/>
      <c r="S20" s="215"/>
    </row>
    <row r="21" spans="2:19" ht="15" customHeight="1" x14ac:dyDescent="0.25">
      <c r="B21" s="303"/>
      <c r="C21" s="304"/>
      <c r="D21" s="305"/>
      <c r="E21" s="206"/>
      <c r="O21"/>
      <c r="P21"/>
      <c r="S21" s="215"/>
    </row>
    <row r="22" spans="2:19" ht="15" customHeight="1" x14ac:dyDescent="0.25">
      <c r="B22" s="303"/>
      <c r="C22" s="304"/>
      <c r="D22" s="305"/>
      <c r="E22" s="208"/>
      <c r="F22" s="85"/>
      <c r="G22" s="85"/>
      <c r="H22" s="85"/>
      <c r="I22" s="85"/>
      <c r="N22" s="85"/>
      <c r="O22"/>
      <c r="P22" s="309" t="str">
        <f>Překlady!C116&amp;" StrongMini"&amp;" -&gt;"</f>
        <v>Konfigurátor StrongMini -&gt;</v>
      </c>
      <c r="Q22" s="309"/>
      <c r="R22" s="309"/>
      <c r="S22" s="215"/>
    </row>
    <row r="23" spans="2:19" ht="15" customHeight="1" x14ac:dyDescent="0.25">
      <c r="B23" s="303"/>
      <c r="C23" s="304"/>
      <c r="D23" s="305"/>
      <c r="E23" s="206"/>
      <c r="H23" s="85"/>
      <c r="I23" s="85"/>
      <c r="N23" s="85"/>
      <c r="O23"/>
      <c r="P23" s="309"/>
      <c r="Q23" s="309"/>
      <c r="R23" s="309"/>
      <c r="S23" s="215"/>
    </row>
    <row r="24" spans="2:19" ht="15" customHeight="1" x14ac:dyDescent="0.25">
      <c r="B24" s="303"/>
      <c r="C24" s="304"/>
      <c r="D24" s="305"/>
      <c r="E24" s="206"/>
      <c r="H24" s="202"/>
      <c r="I24" s="202"/>
      <c r="N24" s="202"/>
      <c r="O24"/>
      <c r="P24" s="309"/>
      <c r="Q24" s="309"/>
      <c r="R24" s="309"/>
      <c r="S24" s="215"/>
    </row>
    <row r="25" spans="2:19" ht="15" customHeight="1" x14ac:dyDescent="0.25">
      <c r="B25" s="303"/>
      <c r="C25" s="304"/>
      <c r="D25" s="305"/>
      <c r="E25" s="206"/>
      <c r="H25" s="202"/>
      <c r="I25" s="202"/>
      <c r="J25" s="202"/>
      <c r="K25" s="202"/>
      <c r="L25" s="202"/>
      <c r="M25" s="202"/>
      <c r="N25" s="202"/>
      <c r="O25"/>
      <c r="P25" s="309"/>
      <c r="Q25" s="309"/>
      <c r="R25" s="309"/>
      <c r="S25" s="215"/>
    </row>
    <row r="26" spans="2:19" ht="15" customHeight="1" x14ac:dyDescent="0.25">
      <c r="B26" s="303"/>
      <c r="C26" s="304"/>
      <c r="D26" s="305"/>
      <c r="E26" s="209"/>
      <c r="F26" s="203"/>
      <c r="G26" s="203"/>
      <c r="H26" s="203"/>
      <c r="I26" s="203"/>
      <c r="J26" s="203"/>
      <c r="K26" s="203"/>
      <c r="L26" s="203"/>
      <c r="M26" s="203"/>
      <c r="N26" s="203"/>
      <c r="O26"/>
      <c r="P26"/>
      <c r="S26" s="215"/>
    </row>
    <row r="27" spans="2:19" ht="15.75" x14ac:dyDescent="0.25">
      <c r="B27" s="303"/>
      <c r="C27" s="304"/>
      <c r="D27" s="305"/>
      <c r="E27" s="206"/>
      <c r="O27"/>
      <c r="P27"/>
      <c r="S27" s="215"/>
    </row>
    <row r="28" spans="2:19" ht="15.75" customHeight="1" x14ac:dyDescent="0.25">
      <c r="B28" s="303"/>
      <c r="C28" s="304"/>
      <c r="D28" s="305"/>
      <c r="E28" s="210"/>
      <c r="F28" s="204"/>
      <c r="G28" s="204"/>
      <c r="H28" s="204"/>
      <c r="I28" s="204"/>
      <c r="J28" s="204"/>
      <c r="K28" s="204"/>
      <c r="L28" s="204"/>
      <c r="M28" s="204"/>
      <c r="N28" s="204"/>
      <c r="O28"/>
      <c r="P28"/>
      <c r="S28" s="215"/>
    </row>
    <row r="29" spans="2:19" ht="15.75" customHeight="1" x14ac:dyDescent="0.25">
      <c r="B29" s="306"/>
      <c r="C29" s="307"/>
      <c r="D29" s="308"/>
      <c r="E29" s="211"/>
      <c r="F29" s="199"/>
      <c r="G29" s="199"/>
      <c r="H29" s="199"/>
      <c r="I29" s="199"/>
      <c r="J29" s="199"/>
      <c r="K29" s="199"/>
      <c r="L29" s="199"/>
      <c r="M29" s="199"/>
      <c r="N29" s="199"/>
      <c r="O29" s="114"/>
      <c r="P29" s="114"/>
      <c r="Q29" s="198"/>
      <c r="R29" s="198"/>
      <c r="S29" s="216"/>
    </row>
    <row r="30" spans="2:19" ht="15.75" x14ac:dyDescent="0.25">
      <c r="C30" s="200"/>
      <c r="E30" s="86"/>
      <c r="F30" s="86"/>
      <c r="G30" s="86"/>
      <c r="H30" s="86"/>
      <c r="I30" s="86"/>
      <c r="J30" s="86"/>
      <c r="K30" s="86"/>
      <c r="L30" s="86"/>
      <c r="M30" s="86"/>
    </row>
    <row r="31" spans="2:19" ht="35.25" customHeight="1" x14ac:dyDescent="0.25">
      <c r="B31" s="289" t="str">
        <f>Překlady!C52</f>
        <v>Vissza</v>
      </c>
      <c r="C31" s="255"/>
      <c r="D31" s="25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</row>
    <row r="32" spans="2:19" ht="15.75" x14ac:dyDescent="0.25"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</row>
    <row r="33" spans="5:16" ht="15.75" hidden="1" x14ac:dyDescent="0.25"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</row>
    <row r="34" spans="5:16" ht="15.75" hidden="1" x14ac:dyDescent="0.25"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</row>
    <row r="35" spans="5:16" ht="15.75" hidden="1" x14ac:dyDescent="0.25"/>
    <row r="36" spans="5:16" ht="15.75" hidden="1" x14ac:dyDescent="0.25"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</row>
    <row r="37" spans="5:16" ht="15.75" hidden="1" x14ac:dyDescent="0.25"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</row>
    <row r="38" spans="5:16" ht="15.75" hidden="1" x14ac:dyDescent="0.25"/>
    <row r="39" spans="5:16" ht="15" hidden="1" customHeight="1" x14ac:dyDescent="0.25"/>
  </sheetData>
  <sheetProtection algorithmName="SHA-512" hashValue="eendp5koPBacqy2C2RQ2ETRmnS1BWflQpLRdjQqkTPj5BGFUE0LYEDlHvtQ2s6BP5mHGZ3Jl//RhITUs4PY8KA==" saltValue="AR9LpFMeO6ktfXqJBPaF5w==" spinCount="100000" sheet="1"/>
  <mergeCells count="7">
    <mergeCell ref="B31:D31"/>
    <mergeCell ref="Q2:T3"/>
    <mergeCell ref="O5:S5"/>
    <mergeCell ref="B6:D17"/>
    <mergeCell ref="B18:D29"/>
    <mergeCell ref="P10:R13"/>
    <mergeCell ref="P22:R25"/>
  </mergeCells>
  <hyperlinks>
    <hyperlink ref="Q2:T3" location="Úvod!A1" display="Úvod!A1" xr:uid="{1F6F60C0-B133-408F-ABD2-D9B991CC317A}"/>
    <hyperlink ref="P10:R13" location="čelo!A1" display="čelo!A1" xr:uid="{72A37C2C-CC8A-4993-8AB4-43BD7E8583AD}"/>
    <hyperlink ref="B6:D17" location="čelo!G9" display="StrongMax" xr:uid="{03773EA0-3E2E-45F9-9F4E-F584D60B0309}"/>
    <hyperlink ref="B18:D29" location="Smini!L9" display="StrongMini" xr:uid="{1C3BDA98-BEC1-426C-8561-47CC9F3E2104}"/>
    <hyperlink ref="B31:D31" location="Zakaznik!A1" display="Zakaznik!A1" xr:uid="{3A15D0EE-1241-443E-AB3B-940162C35CFF}"/>
    <hyperlink ref="P22:R25" location="Smini!L9" display="Smini!L9" xr:uid="{58924A90-AC46-47D4-8E04-083ACC1DB02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594F-36FA-4A55-A876-2980C28532F8}">
  <sheetPr codeName="List3"/>
  <dimension ref="B1:I119"/>
  <sheetViews>
    <sheetView workbookViewId="0">
      <selection activeCell="C2" sqref="C2"/>
    </sheetView>
  </sheetViews>
  <sheetFormatPr defaultRowHeight="15" x14ac:dyDescent="0.25"/>
  <cols>
    <col min="2" max="2" width="15.28515625" customWidth="1"/>
    <col min="3" max="3" width="23.28515625" customWidth="1"/>
    <col min="4" max="4" width="31.28515625" bestFit="1" customWidth="1"/>
    <col min="5" max="5" width="18" customWidth="1"/>
    <col min="6" max="6" width="26.7109375" customWidth="1"/>
    <col min="7" max="7" width="30.85546875" customWidth="1"/>
  </cols>
  <sheetData>
    <row r="1" spans="2:9" x14ac:dyDescent="0.25">
      <c r="B1" t="s">
        <v>3</v>
      </c>
      <c r="C1" s="64" t="s">
        <v>2197</v>
      </c>
      <c r="D1">
        <f>Úvod!O30</f>
        <v>4</v>
      </c>
    </row>
    <row r="2" spans="2:9" x14ac:dyDescent="0.25"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2:9" x14ac:dyDescent="0.25">
      <c r="C3" t="str">
        <f>IF($D$1=1,D:D,IF($D$1=2,E:E,IF($D$1=3,F:F,IF($D$1=4,G:G,IF($D$1=5,H:H)))))</f>
        <v>madarsky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</row>
    <row r="5" spans="2:9" x14ac:dyDescent="0.25">
      <c r="C5" t="str">
        <f>IF($D$1=1,D:D,IF($D$1=2,E:E,IF($D$1=3,F:F,IF($D$1=4,G:G,IF($D$1=5,H:H)))))</f>
        <v xml:space="preserve">Fiókok frontval </v>
      </c>
      <c r="D5" t="s">
        <v>15</v>
      </c>
      <c r="E5" t="s">
        <v>16</v>
      </c>
      <c r="F5" s="35" t="s">
        <v>17</v>
      </c>
      <c r="G5" t="s">
        <v>18</v>
      </c>
    </row>
    <row r="7" spans="2:9" x14ac:dyDescent="0.25">
      <c r="C7" t="str">
        <f t="shared" ref="C7:C47" si="0">IF($D$1=1,D:D,IF($D$1=2,E:E,IF($D$1=3,F:F,IF($D$1=4,G:G,IF($D$1=5,H:H)))))</f>
        <v>Bevezetés</v>
      </c>
      <c r="D7" s="14" t="s">
        <v>19</v>
      </c>
      <c r="E7" s="14" t="s">
        <v>19</v>
      </c>
      <c r="F7" s="14" t="s">
        <v>20</v>
      </c>
      <c r="G7" s="14" t="s">
        <v>21</v>
      </c>
      <c r="H7" s="14" t="s">
        <v>22</v>
      </c>
    </row>
    <row r="8" spans="2:9" x14ac:dyDescent="0.25">
      <c r="C8" t="str">
        <f t="shared" si="0"/>
        <v>Következő</v>
      </c>
      <c r="D8" t="s">
        <v>23</v>
      </c>
      <c r="E8" t="s">
        <v>24</v>
      </c>
      <c r="F8" t="s">
        <v>2180</v>
      </c>
      <c r="G8" t="s">
        <v>25</v>
      </c>
      <c r="H8" t="s">
        <v>26</v>
      </c>
    </row>
    <row r="9" spans="2:9" x14ac:dyDescent="0.25">
      <c r="C9" t="str">
        <f t="shared" si="0"/>
        <v>Korpuszmagasság (A)</v>
      </c>
      <c r="D9" t="s">
        <v>27</v>
      </c>
      <c r="E9" t="s">
        <v>27</v>
      </c>
      <c r="F9" t="s">
        <v>28</v>
      </c>
      <c r="G9" t="s">
        <v>29</v>
      </c>
    </row>
    <row r="10" spans="2:9" x14ac:dyDescent="0.25">
      <c r="C10" t="str">
        <f t="shared" si="0"/>
        <v>Korpuszszélesség (B)</v>
      </c>
      <c r="D10" t="s">
        <v>30</v>
      </c>
      <c r="E10" t="s">
        <v>31</v>
      </c>
      <c r="F10" t="s">
        <v>32</v>
      </c>
      <c r="G10" t="s">
        <v>33</v>
      </c>
    </row>
    <row r="11" spans="2:9" x14ac:dyDescent="0.25">
      <c r="C11" t="str">
        <f t="shared" si="0"/>
        <v>Alsó és felső fal vastagság ©</v>
      </c>
      <c r="D11" t="s">
        <v>34</v>
      </c>
      <c r="E11" t="s">
        <v>35</v>
      </c>
      <c r="F11" s="35" t="s">
        <v>36</v>
      </c>
      <c r="G11" t="s">
        <v>37</v>
      </c>
    </row>
    <row r="12" spans="2:9" x14ac:dyDescent="0.25">
      <c r="C12" t="str">
        <f t="shared" si="0"/>
        <v>Oldalfal vastagság (D)</v>
      </c>
      <c r="D12" t="s">
        <v>38</v>
      </c>
      <c r="E12" t="s">
        <v>39</v>
      </c>
      <c r="F12" t="s">
        <v>40</v>
      </c>
      <c r="G12" t="s">
        <v>41</v>
      </c>
    </row>
    <row r="13" spans="2:9" x14ac:dyDescent="0.25">
      <c r="C13" t="str">
        <f t="shared" si="0"/>
        <v>Rés a felső részen (E)</v>
      </c>
      <c r="D13" t="s">
        <v>42</v>
      </c>
      <c r="E13" t="s">
        <v>43</v>
      </c>
      <c r="F13" t="s">
        <v>44</v>
      </c>
      <c r="G13" t="s">
        <v>45</v>
      </c>
    </row>
    <row r="14" spans="2:9" x14ac:dyDescent="0.25">
      <c r="C14" t="str">
        <f t="shared" si="0"/>
        <v>Frontok közötti réstávolság (F)</v>
      </c>
      <c r="D14" t="s">
        <v>46</v>
      </c>
      <c r="E14" t="s">
        <v>47</v>
      </c>
      <c r="F14" t="s">
        <v>48</v>
      </c>
      <c r="G14" t="s">
        <v>49</v>
      </c>
    </row>
    <row r="15" spans="2:9" x14ac:dyDescent="0.25">
      <c r="C15" t="str">
        <f t="shared" si="0"/>
        <v>Túlnyúlás a korpusz alja alatt (G)</v>
      </c>
      <c r="D15" t="s">
        <v>2193</v>
      </c>
      <c r="E15" t="s">
        <v>2193</v>
      </c>
      <c r="F15" t="s">
        <v>2194</v>
      </c>
      <c r="G15" t="s">
        <v>2195</v>
      </c>
    </row>
    <row r="16" spans="2:9" x14ac:dyDescent="0.25">
      <c r="C16" t="str">
        <f t="shared" si="0"/>
        <v>Oldalsó rések (H)</v>
      </c>
      <c r="D16" t="s">
        <v>50</v>
      </c>
      <c r="E16" t="s">
        <v>51</v>
      </c>
      <c r="F16" t="s">
        <v>52</v>
      </c>
      <c r="G16" t="s">
        <v>53</v>
      </c>
    </row>
    <row r="17" spans="3:7" x14ac:dyDescent="0.25">
      <c r="C17" t="str">
        <f t="shared" si="0"/>
        <v>Fióksín hossz (I)</v>
      </c>
      <c r="D17" t="s">
        <v>54</v>
      </c>
      <c r="E17" t="s">
        <v>55</v>
      </c>
      <c r="F17" t="s">
        <v>56</v>
      </c>
      <c r="G17" t="s">
        <v>57</v>
      </c>
    </row>
    <row r="18" spans="3:7" x14ac:dyDescent="0.25">
      <c r="C18" t="str">
        <f t="shared" si="0"/>
        <v>Fiókok száma</v>
      </c>
      <c r="D18" t="s">
        <v>58</v>
      </c>
      <c r="E18" t="s">
        <v>59</v>
      </c>
      <c r="F18" t="s">
        <v>60</v>
      </c>
      <c r="G18" t="s">
        <v>61</v>
      </c>
    </row>
    <row r="19" spans="3:7" x14ac:dyDescent="0.25">
      <c r="C19" t="str">
        <f t="shared" si="0"/>
        <v>A frontok magasságának számítása</v>
      </c>
      <c r="D19" t="s">
        <v>62</v>
      </c>
      <c r="E19" t="s">
        <v>63</v>
      </c>
      <c r="F19" s="35" t="s">
        <v>2183</v>
      </c>
      <c r="G19" t="s">
        <v>64</v>
      </c>
    </row>
    <row r="20" spans="3:7" x14ac:dyDescent="0.25">
      <c r="C20" t="str">
        <f t="shared" si="0"/>
        <v>Tartalmaz a front fogantyúprofilt?</v>
      </c>
      <c r="D20" t="s">
        <v>65</v>
      </c>
      <c r="E20" t="s">
        <v>66</v>
      </c>
      <c r="F20" t="s">
        <v>2181</v>
      </c>
      <c r="G20" t="s">
        <v>67</v>
      </c>
    </row>
    <row r="21" spans="3:7" x14ac:dyDescent="0.25">
      <c r="C21" t="str">
        <f t="shared" si="0"/>
        <v>A fogantyúprofil magassága mm-ben (J)</v>
      </c>
      <c r="D21" t="s">
        <v>68</v>
      </c>
      <c r="E21" t="s">
        <v>68</v>
      </c>
      <c r="F21" t="s">
        <v>2182</v>
      </c>
      <c r="G21" t="s">
        <v>69</v>
      </c>
    </row>
    <row r="22" spans="3:7" x14ac:dyDescent="0.25">
      <c r="C22" t="str">
        <f t="shared" si="0"/>
        <v>1. fiók</v>
      </c>
      <c r="D22" t="s">
        <v>70</v>
      </c>
      <c r="E22" t="s">
        <v>70</v>
      </c>
      <c r="F22" t="s">
        <v>71</v>
      </c>
      <c r="G22" t="s">
        <v>72</v>
      </c>
    </row>
    <row r="23" spans="3:7" x14ac:dyDescent="0.25">
      <c r="C23" t="str">
        <f t="shared" si="0"/>
        <v>2. fiók</v>
      </c>
      <c r="D23" t="s">
        <v>73</v>
      </c>
      <c r="E23" t="s">
        <v>73</v>
      </c>
      <c r="F23" t="s">
        <v>74</v>
      </c>
      <c r="G23" t="s">
        <v>75</v>
      </c>
    </row>
    <row r="24" spans="3:7" x14ac:dyDescent="0.25">
      <c r="C24" t="str">
        <f t="shared" si="0"/>
        <v>3. fiók</v>
      </c>
      <c r="D24" t="s">
        <v>76</v>
      </c>
      <c r="E24" t="s">
        <v>76</v>
      </c>
      <c r="F24" t="s">
        <v>77</v>
      </c>
      <c r="G24" t="s">
        <v>78</v>
      </c>
    </row>
    <row r="25" spans="3:7" x14ac:dyDescent="0.25">
      <c r="C25" t="str">
        <f t="shared" si="0"/>
        <v>4. fiók</v>
      </c>
      <c r="D25" t="s">
        <v>79</v>
      </c>
      <c r="E25" t="s">
        <v>79</v>
      </c>
      <c r="F25" t="s">
        <v>80</v>
      </c>
      <c r="G25" t="s">
        <v>81</v>
      </c>
    </row>
    <row r="26" spans="3:7" x14ac:dyDescent="0.25">
      <c r="C26" t="str">
        <f t="shared" si="0"/>
        <v>5. fiók</v>
      </c>
      <c r="D26" t="s">
        <v>82</v>
      </c>
      <c r="E26" t="s">
        <v>82</v>
      </c>
      <c r="F26" t="s">
        <v>83</v>
      </c>
      <c r="G26" t="s">
        <v>84</v>
      </c>
    </row>
    <row r="27" spans="3:7" x14ac:dyDescent="0.25">
      <c r="C27" t="str">
        <f t="shared" si="0"/>
        <v>Fióksín pozíció</v>
      </c>
      <c r="D27" t="s">
        <v>85</v>
      </c>
      <c r="E27" t="s">
        <v>86</v>
      </c>
      <c r="F27" t="s">
        <v>87</v>
      </c>
      <c r="G27" t="s">
        <v>88</v>
      </c>
    </row>
    <row r="28" spans="3:7" x14ac:dyDescent="0.25">
      <c r="C28" t="str">
        <f t="shared" si="0"/>
        <v>Frontmagasság</v>
      </c>
      <c r="D28" t="s">
        <v>89</v>
      </c>
      <c r="E28" t="s">
        <v>90</v>
      </c>
      <c r="F28" s="35" t="s">
        <v>91</v>
      </c>
      <c r="G28" t="s">
        <v>92</v>
      </c>
    </row>
    <row r="29" spans="3:7" x14ac:dyDescent="0.25">
      <c r="C29" t="str">
        <f t="shared" si="0"/>
        <v>A korpusz méretei mm-ben</v>
      </c>
      <c r="D29" t="s">
        <v>93</v>
      </c>
      <c r="E29" t="s">
        <v>94</v>
      </c>
      <c r="F29" t="s">
        <v>95</v>
      </c>
      <c r="G29" t="s">
        <v>96</v>
      </c>
    </row>
    <row r="30" spans="3:7" x14ac:dyDescent="0.25">
      <c r="C30" t="str">
        <f t="shared" si="0"/>
        <v>Szín kiválasztása</v>
      </c>
      <c r="D30" t="s">
        <v>97</v>
      </c>
      <c r="E30" t="s">
        <v>98</v>
      </c>
      <c r="F30" t="s">
        <v>99</v>
      </c>
      <c r="G30" t="s">
        <v>100</v>
      </c>
    </row>
    <row r="31" spans="3:7" x14ac:dyDescent="0.25">
      <c r="C31" t="str">
        <f t="shared" si="0"/>
        <v>fehér</v>
      </c>
      <c r="D31" t="s">
        <v>101</v>
      </c>
      <c r="E31" t="s">
        <v>102</v>
      </c>
      <c r="F31" t="s">
        <v>103</v>
      </c>
      <c r="G31" t="s">
        <v>104</v>
      </c>
    </row>
    <row r="32" spans="3:7" x14ac:dyDescent="0.25">
      <c r="C32" t="str">
        <f t="shared" si="0"/>
        <v>fekete</v>
      </c>
      <c r="D32" t="s">
        <v>105</v>
      </c>
      <c r="E32" t="s">
        <v>106</v>
      </c>
      <c r="F32" t="s">
        <v>107</v>
      </c>
      <c r="G32" t="s">
        <v>108</v>
      </c>
    </row>
    <row r="33" spans="3:7" x14ac:dyDescent="0.25">
      <c r="C33" t="str">
        <f t="shared" si="0"/>
        <v>szürke</v>
      </c>
      <c r="D33" t="s">
        <v>109</v>
      </c>
      <c r="E33" t="s">
        <v>110</v>
      </c>
      <c r="F33" t="s">
        <v>111</v>
      </c>
      <c r="G33" t="s">
        <v>112</v>
      </c>
    </row>
    <row r="34" spans="3:7" x14ac:dyDescent="0.25">
      <c r="C34" t="str">
        <f t="shared" si="0"/>
        <v>Válassza ki az oldalfal magasságát</v>
      </c>
      <c r="D34" t="s">
        <v>113</v>
      </c>
      <c r="E34" t="s">
        <v>113</v>
      </c>
      <c r="F34" t="s">
        <v>2185</v>
      </c>
      <c r="G34" t="s">
        <v>114</v>
      </c>
    </row>
    <row r="35" spans="3:7" x14ac:dyDescent="0.25">
      <c r="C35" t="str">
        <f t="shared" si="0"/>
        <v>üveggel nem lehetséges</v>
      </c>
      <c r="D35" t="s">
        <v>115</v>
      </c>
      <c r="E35" t="s">
        <v>116</v>
      </c>
      <c r="F35" t="s">
        <v>117</v>
      </c>
      <c r="G35" t="s">
        <v>118</v>
      </c>
    </row>
    <row r="36" spans="3:7" x14ac:dyDescent="0.25">
      <c r="C36" t="str">
        <f t="shared" si="0"/>
        <v>A korpusz oldalának fúrása</v>
      </c>
      <c r="D36" t="s">
        <v>119</v>
      </c>
      <c r="E36" t="s">
        <v>120</v>
      </c>
      <c r="F36" t="s">
        <v>121</v>
      </c>
      <c r="G36" t="s">
        <v>122</v>
      </c>
    </row>
    <row r="37" spans="3:7" x14ac:dyDescent="0.25">
      <c r="C37" t="str">
        <f t="shared" si="0"/>
        <v>Az adatokat mindig alulról kezdje kitölteni</v>
      </c>
      <c r="D37" t="s">
        <v>123</v>
      </c>
      <c r="E37" t="s">
        <v>123</v>
      </c>
      <c r="F37" t="s">
        <v>124</v>
      </c>
      <c r="G37" t="s">
        <v>125</v>
      </c>
    </row>
    <row r="38" spans="3:7" x14ac:dyDescent="0.25">
      <c r="C38" t="str">
        <f t="shared" si="0"/>
        <v>A furatok magassága a korpusz aljától számítva</v>
      </c>
      <c r="D38" t="s">
        <v>126</v>
      </c>
      <c r="E38" t="s">
        <v>127</v>
      </c>
      <c r="F38" t="s">
        <v>128</v>
      </c>
      <c r="G38" t="s">
        <v>129</v>
      </c>
    </row>
    <row r="39" spans="3:7" x14ac:dyDescent="0.25">
      <c r="C39" t="str">
        <f t="shared" si="0"/>
        <v>Mindig használja a legfrissebb megrendelő lapot, amelyet megtalál a weboldalunkon.</v>
      </c>
      <c r="D39" s="13" t="s">
        <v>130</v>
      </c>
      <c r="E39" t="s">
        <v>131</v>
      </c>
      <c r="F39" t="s">
        <v>132</v>
      </c>
      <c r="G39" t="s">
        <v>133</v>
      </c>
    </row>
    <row r="40" spans="3:7" x14ac:dyDescent="0.25">
      <c r="C40" t="str">
        <f t="shared" si="0"/>
        <v>Töltse ki kérem az elérhetőségét:</v>
      </c>
      <c r="D40" s="13" t="s">
        <v>134</v>
      </c>
      <c r="E40" t="s">
        <v>135</v>
      </c>
      <c r="F40" t="s">
        <v>136</v>
      </c>
      <c r="G40" t="s">
        <v>137</v>
      </c>
    </row>
    <row r="41" spans="3:7" x14ac:dyDescent="0.25">
      <c r="C41" t="str">
        <f t="shared" si="0"/>
        <v>Vevő</v>
      </c>
      <c r="D41" s="13" t="s">
        <v>138</v>
      </c>
      <c r="E41" t="s">
        <v>138</v>
      </c>
      <c r="F41" t="s">
        <v>139</v>
      </c>
      <c r="G41" t="s">
        <v>140</v>
      </c>
    </row>
    <row r="42" spans="3:7" x14ac:dyDescent="0.25">
      <c r="C42" t="str">
        <f t="shared" si="0"/>
        <v>Kontakt telefon</v>
      </c>
      <c r="D42" s="13" t="s">
        <v>141</v>
      </c>
      <c r="E42" t="s">
        <v>142</v>
      </c>
      <c r="F42" t="s">
        <v>143</v>
      </c>
      <c r="G42" t="s">
        <v>144</v>
      </c>
    </row>
    <row r="43" spans="3:7" x14ac:dyDescent="0.25">
      <c r="C43" t="str">
        <f t="shared" si="0"/>
        <v>Kontakt e-mail</v>
      </c>
      <c r="D43" s="13" t="s">
        <v>145</v>
      </c>
      <c r="E43" t="s">
        <v>146</v>
      </c>
      <c r="F43" t="s">
        <v>147</v>
      </c>
      <c r="G43" t="s">
        <v>148</v>
      </c>
    </row>
    <row r="44" spans="3:7" x14ac:dyDescent="0.25">
      <c r="C44" t="str">
        <f t="shared" si="0"/>
        <v>Szállítási cím</v>
      </c>
      <c r="D44" s="13" t="s">
        <v>149</v>
      </c>
      <c r="E44" t="s">
        <v>150</v>
      </c>
      <c r="F44" t="s">
        <v>151</v>
      </c>
      <c r="G44" t="s">
        <v>152</v>
      </c>
    </row>
    <row r="45" spans="3:7" x14ac:dyDescent="0.25">
      <c r="C45" t="str">
        <f t="shared" si="0"/>
        <v>ID:</v>
      </c>
      <c r="D45" s="13" t="s">
        <v>153</v>
      </c>
      <c r="E45" t="s">
        <v>153</v>
      </c>
      <c r="F45" t="s">
        <v>154</v>
      </c>
      <c r="G45" t="s">
        <v>154</v>
      </c>
    </row>
    <row r="46" spans="3:7" x14ac:dyDescent="0.25">
      <c r="C46" t="str">
        <f t="shared" si="0"/>
        <v>Engedmény a profilokra*</v>
      </c>
      <c r="D46" s="13" t="s">
        <v>155</v>
      </c>
      <c r="E46" t="s">
        <v>156</v>
      </c>
      <c r="F46" t="s">
        <v>157</v>
      </c>
      <c r="G46" t="s">
        <v>158</v>
      </c>
    </row>
    <row r="47" spans="3:7" x14ac:dyDescent="0.25">
      <c r="C47" t="str">
        <f t="shared" si="0"/>
        <v>A megrendelés száma</v>
      </c>
      <c r="D47" s="13" t="s">
        <v>159</v>
      </c>
      <c r="E47" t="s">
        <v>159</v>
      </c>
      <c r="F47" t="s">
        <v>160</v>
      </c>
      <c r="G47" t="s">
        <v>161</v>
      </c>
    </row>
    <row r="48" spans="3:7" x14ac:dyDescent="0.25">
      <c r="C48" t="str">
        <f t="shared" ref="C48:C114" si="1">IF($D$1=1,D:D,IF($D$1=2,E:E,IF($D$1=3,F:F,IF($D$1=4,G:G,IF($D$1=5,H:H)))))</f>
        <v>1.3 - es változat</v>
      </c>
      <c r="D48" t="str">
        <f>"Verze "&amp;C1</f>
        <v>Verze 1.3</v>
      </c>
      <c r="E48" t="str">
        <f>"Verzia "&amp;C1</f>
        <v>Verzia 1.3</v>
      </c>
      <c r="F48" t="str">
        <f>"Wersja "&amp;C1</f>
        <v>Wersja 1.3</v>
      </c>
      <c r="G48" t="str">
        <f>C1&amp;" - es változat"</f>
        <v>1.3 - es változat</v>
      </c>
    </row>
    <row r="49" spans="2:8" x14ac:dyDescent="0.25">
      <c r="C49" t="str">
        <f t="shared" si="1"/>
        <v>Az árak érvényesek 2025.01.02 -től</v>
      </c>
      <c r="D49" t="s">
        <v>162</v>
      </c>
      <c r="E49" t="s">
        <v>163</v>
      </c>
      <c r="F49" t="s">
        <v>164</v>
      </c>
      <c r="G49" t="s">
        <v>165</v>
      </c>
    </row>
    <row r="50" spans="2:8" x14ac:dyDescent="0.25">
      <c r="C50" t="str">
        <f t="shared" si="1"/>
        <v>Ez a űrlap a frontmagasságok, a fióksínek és a frontok furatainak kiszámításához nyújt segítséget. Bizonyos esetekben a számítások nem feltétlenül pontosak, és a Démos Trade nem vállal felelősséget az űrlap által okozott károkért.</v>
      </c>
      <c r="D50" t="s">
        <v>166</v>
      </c>
      <c r="E50" t="s">
        <v>167</v>
      </c>
      <c r="F50" t="s">
        <v>168</v>
      </c>
      <c r="G50" t="s">
        <v>169</v>
      </c>
    </row>
    <row r="51" spans="2:8" x14ac:dyDescent="0.25">
      <c r="C51" t="str">
        <f t="shared" si="1"/>
        <v>Megerősítem, hogy megértettem és elfogadom a fenti feltételeket és ajánlásokat:</v>
      </c>
      <c r="D51" s="6" t="s">
        <v>170</v>
      </c>
      <c r="E51" t="s">
        <v>171</v>
      </c>
      <c r="F51" t="s">
        <v>172</v>
      </c>
      <c r="G51" t="s">
        <v>173</v>
      </c>
    </row>
    <row r="52" spans="2:8" x14ac:dyDescent="0.25">
      <c r="C52" t="str">
        <f t="shared" si="1"/>
        <v>Vissza</v>
      </c>
      <c r="D52" t="s">
        <v>174</v>
      </c>
      <c r="E52" t="s">
        <v>175</v>
      </c>
      <c r="F52" t="s">
        <v>176</v>
      </c>
      <c r="G52" t="s">
        <v>177</v>
      </c>
      <c r="H52" t="s">
        <v>178</v>
      </c>
    </row>
    <row r="53" spans="2:8" x14ac:dyDescent="0.25">
      <c r="C53" t="str">
        <f t="shared" si="1"/>
        <v>Az feltüntetett árak ÁFA nélkül vannak megadva és nem tartalmazzák a szükséges vasalatok árát!</v>
      </c>
      <c r="D53" s="13" t="s">
        <v>179</v>
      </c>
      <c r="E53" t="s">
        <v>180</v>
      </c>
      <c r="F53" t="s">
        <v>181</v>
      </c>
      <c r="G53" t="s">
        <v>182</v>
      </c>
      <c r="H53" t="s">
        <v>183</v>
      </c>
    </row>
    <row r="54" spans="2:8" x14ac:dyDescent="0.25">
      <c r="C54" t="str">
        <f t="shared" si="1"/>
        <v xml:space="preserve">Az űrlap kitöltésénél mindig haladjon fentről lefelé. Amennyiben bármilyen változtatást hajt végre az űrlapon, ellenőrizze az összes adatot, hogy rendben vannak-e. </v>
      </c>
      <c r="D54" s="13" t="s">
        <v>184</v>
      </c>
      <c r="E54" t="s">
        <v>185</v>
      </c>
      <c r="F54" t="s">
        <v>186</v>
      </c>
      <c r="G54" t="s">
        <v>187</v>
      </c>
      <c r="H54" t="s">
        <v>188</v>
      </c>
    </row>
    <row r="55" spans="2:8" x14ac:dyDescent="0.25">
      <c r="C55" t="str">
        <f t="shared" si="1"/>
        <v xml:space="preserve">A kitöltött megrendelést küldje el a következő címre: </v>
      </c>
      <c r="D55" s="13" t="s">
        <v>189</v>
      </c>
      <c r="E55" t="s">
        <v>190</v>
      </c>
      <c r="F55" t="s">
        <v>191</v>
      </c>
      <c r="G55" t="s">
        <v>192</v>
      </c>
    </row>
    <row r="56" spans="2:8" x14ac:dyDescent="0.25">
      <c r="C56" t="str">
        <f t="shared" si="1"/>
        <v>megrendelesek@demos-trade.com</v>
      </c>
      <c r="D56" s="15" t="s">
        <v>193</v>
      </c>
      <c r="E56" s="16" t="s">
        <v>193</v>
      </c>
      <c r="F56" t="s">
        <v>194</v>
      </c>
      <c r="G56" t="s">
        <v>195</v>
      </c>
    </row>
    <row r="57" spans="2:8" x14ac:dyDescent="0.25">
      <c r="C57" t="str">
        <f t="shared" si="1"/>
        <v>Konfigurátor a StrongMax és StrongMini frontok és furatok kiszámításához 18 mm-es fiókalj esetében</v>
      </c>
      <c r="D57" t="s">
        <v>196</v>
      </c>
      <c r="E57" t="s">
        <v>197</v>
      </c>
      <c r="F57" t="s">
        <v>198</v>
      </c>
      <c r="G57" t="s">
        <v>199</v>
      </c>
    </row>
    <row r="58" spans="2:8" x14ac:dyDescent="0.25">
      <c r="C58" t="str">
        <f t="shared" si="1"/>
        <v>Hátsó vágás</v>
      </c>
      <c r="D58" t="s">
        <v>2192</v>
      </c>
      <c r="E58" t="s">
        <v>2191</v>
      </c>
      <c r="F58" t="s">
        <v>2190</v>
      </c>
      <c r="G58" t="s">
        <v>2189</v>
      </c>
    </row>
    <row r="59" spans="2:8" x14ac:dyDescent="0.25">
      <c r="C59" t="str">
        <f t="shared" si="1"/>
        <v>Alsó vágás:</v>
      </c>
      <c r="D59" t="s">
        <v>200</v>
      </c>
      <c r="E59" t="s">
        <v>201</v>
      </c>
      <c r="F59" t="s">
        <v>2188</v>
      </c>
      <c r="G59" t="s">
        <v>202</v>
      </c>
    </row>
    <row r="60" spans="2:8" x14ac:dyDescent="0.25">
      <c r="C60" t="str">
        <f t="shared" si="1"/>
        <v>( a helyes számításhoz a fenti táblázatban található oldalfalmagasságot kell kiválasztani)</v>
      </c>
      <c r="D60" t="s">
        <v>203</v>
      </c>
      <c r="E60" t="s">
        <v>204</v>
      </c>
      <c r="F60" t="s">
        <v>2187</v>
      </c>
      <c r="G60" t="s">
        <v>205</v>
      </c>
    </row>
    <row r="61" spans="2:8" x14ac:dyDescent="0.25">
      <c r="C61" t="str">
        <f t="shared" si="1"/>
        <v>Az első fiók frontfurata</v>
      </c>
      <c r="D61" t="s">
        <v>206</v>
      </c>
      <c r="E61" t="s">
        <v>207</v>
      </c>
      <c r="F61" t="s">
        <v>208</v>
      </c>
      <c r="G61" t="s">
        <v>209</v>
      </c>
    </row>
    <row r="62" spans="2:8" x14ac:dyDescent="0.25">
      <c r="B62">
        <v>2</v>
      </c>
      <c r="C62" t="str">
        <f t="shared" si="1"/>
        <v>A második fiók frontfurata</v>
      </c>
      <c r="D62" t="s">
        <v>210</v>
      </c>
      <c r="E62" t="s">
        <v>211</v>
      </c>
      <c r="F62" t="s">
        <v>212</v>
      </c>
      <c r="G62" t="s">
        <v>213</v>
      </c>
    </row>
    <row r="63" spans="2:8" x14ac:dyDescent="0.25">
      <c r="B63">
        <v>3</v>
      </c>
      <c r="C63" t="str">
        <f t="shared" si="1"/>
        <v>A harmadik fiók frontfurata</v>
      </c>
      <c r="D63" t="s">
        <v>214</v>
      </c>
      <c r="E63" t="s">
        <v>215</v>
      </c>
      <c r="F63" t="s">
        <v>216</v>
      </c>
      <c r="G63" t="s">
        <v>217</v>
      </c>
    </row>
    <row r="64" spans="2:8" x14ac:dyDescent="0.25">
      <c r="B64">
        <v>4</v>
      </c>
      <c r="C64" t="str">
        <f t="shared" si="1"/>
        <v>A negyedik fiók frontfurata</v>
      </c>
      <c r="D64" t="s">
        <v>218</v>
      </c>
      <c r="E64" t="s">
        <v>219</v>
      </c>
      <c r="F64" t="s">
        <v>220</v>
      </c>
      <c r="G64" t="s">
        <v>221</v>
      </c>
    </row>
    <row r="65" spans="2:8" x14ac:dyDescent="0.25">
      <c r="B65">
        <v>5</v>
      </c>
      <c r="C65" t="str">
        <f t="shared" si="1"/>
        <v>Az ötödik fiók frontfurata</v>
      </c>
      <c r="D65" t="s">
        <v>222</v>
      </c>
      <c r="E65" t="s">
        <v>223</v>
      </c>
      <c r="F65" t="s">
        <v>224</v>
      </c>
      <c r="G65" t="s">
        <v>225</v>
      </c>
    </row>
    <row r="66" spans="2:8" x14ac:dyDescent="0.25">
      <c r="C66" t="str">
        <f t="shared" si="1"/>
        <v>A front rész magassága a fogantyúprofillal együtt</v>
      </c>
      <c r="D66" t="s">
        <v>226</v>
      </c>
      <c r="E66" t="s">
        <v>227</v>
      </c>
      <c r="F66" t="s">
        <v>2184</v>
      </c>
      <c r="G66" t="s">
        <v>228</v>
      </c>
    </row>
    <row r="67" spans="2:8" x14ac:dyDescent="0.25">
      <c r="C67" t="str">
        <f t="shared" si="1"/>
        <v>igen</v>
      </c>
      <c r="D67" s="29" t="s">
        <v>229</v>
      </c>
      <c r="E67" s="14" t="s">
        <v>230</v>
      </c>
      <c r="F67" s="14" t="s">
        <v>231</v>
      </c>
      <c r="G67" s="14" t="s">
        <v>232</v>
      </c>
      <c r="H67" s="14" t="s">
        <v>233</v>
      </c>
    </row>
    <row r="68" spans="2:8" x14ac:dyDescent="0.25">
      <c r="C68" t="str">
        <f t="shared" si="1"/>
        <v>nem</v>
      </c>
      <c r="D68" s="29" t="s">
        <v>234</v>
      </c>
      <c r="E68" s="14" t="s">
        <v>235</v>
      </c>
      <c r="F68" s="14" t="s">
        <v>235</v>
      </c>
      <c r="G68" s="14" t="s">
        <v>236</v>
      </c>
      <c r="H68" s="14" t="s">
        <v>237</v>
      </c>
    </row>
    <row r="69" spans="2:8" x14ac:dyDescent="0.25">
      <c r="C69" t="str">
        <f t="shared" si="1"/>
        <v>Üveg oldalfal igen/nem</v>
      </c>
      <c r="D69" t="s">
        <v>238</v>
      </c>
      <c r="E69" t="s">
        <v>239</v>
      </c>
      <c r="F69" t="s">
        <v>240</v>
      </c>
      <c r="G69" t="s">
        <v>241</v>
      </c>
    </row>
    <row r="70" spans="2:8" x14ac:dyDescent="0.25">
      <c r="C70" t="str">
        <f t="shared" si="1"/>
        <v>Megjegyzés: balról jobbra haladva töltse ki</v>
      </c>
      <c r="D70" t="s">
        <v>242</v>
      </c>
      <c r="E70" t="s">
        <v>243</v>
      </c>
      <c r="F70" t="s">
        <v>244</v>
      </c>
      <c r="G70" t="s">
        <v>245</v>
      </c>
    </row>
    <row r="71" spans="2:8" x14ac:dyDescent="0.25">
      <c r="C71" t="str">
        <f t="shared" si="1"/>
        <v>Megjegyzés: ha változtat, töltsön ki mindent újra, különben az űrlap hibás adatokkal fog dolgozni</v>
      </c>
      <c r="D71" t="s">
        <v>246</v>
      </c>
      <c r="E71" t="s">
        <v>247</v>
      </c>
      <c r="F71" t="s">
        <v>248</v>
      </c>
      <c r="G71" t="s">
        <v>249</v>
      </c>
    </row>
    <row r="72" spans="2:8" x14ac:dyDescent="0.25">
      <c r="C72" t="str">
        <f t="shared" si="1"/>
        <v xml:space="preserve">Komplett cikkszáma </v>
      </c>
      <c r="D72" t="s">
        <v>250</v>
      </c>
      <c r="E72" t="s">
        <v>250</v>
      </c>
      <c r="F72" t="s">
        <v>251</v>
      </c>
      <c r="G72" t="s">
        <v>252</v>
      </c>
    </row>
    <row r="73" spans="2:8" x14ac:dyDescent="0.25">
      <c r="C73" t="str">
        <f t="shared" si="1"/>
        <v>Komplett elnevezése</v>
      </c>
      <c r="D73" t="s">
        <v>253</v>
      </c>
      <c r="E73" t="s">
        <v>254</v>
      </c>
      <c r="F73" t="s">
        <v>255</v>
      </c>
      <c r="G73" t="s">
        <v>256</v>
      </c>
    </row>
    <row r="74" spans="2:8" x14ac:dyDescent="0.25">
      <c r="C74" t="str">
        <f t="shared" si="1"/>
        <v>Helyes megrendelésének feltételei és ajánlásai</v>
      </c>
      <c r="D74" s="6" t="s">
        <v>257</v>
      </c>
      <c r="E74" t="s">
        <v>258</v>
      </c>
      <c r="F74" t="s">
        <v>259</v>
      </c>
      <c r="G74" t="s">
        <v>260</v>
      </c>
      <c r="H74" s="14" t="s">
        <v>261</v>
      </c>
    </row>
    <row r="75" spans="2:8" x14ac:dyDescent="0.25">
      <c r="C75" t="str">
        <f t="shared" si="1"/>
        <v>A munka egyszerűsítésére …</v>
      </c>
      <c r="D75" t="s">
        <v>262</v>
      </c>
      <c r="E75" t="s">
        <v>263</v>
      </c>
      <c r="F75" t="s">
        <v>264</v>
      </c>
      <c r="G75" t="s">
        <v>265</v>
      </c>
      <c r="H75" t="s">
        <v>266</v>
      </c>
    </row>
    <row r="76" spans="2:8" x14ac:dyDescent="0.25">
      <c r="C76" t="str">
        <f t="shared" si="1"/>
        <v>A fiók maximális ajánlott szélessége a fióksín hosszának 1,6-szorosa</v>
      </c>
      <c r="D76" t="s">
        <v>267</v>
      </c>
      <c r="E76" t="s">
        <v>268</v>
      </c>
      <c r="F76" t="s">
        <v>269</v>
      </c>
      <c r="G76" t="s">
        <v>270</v>
      </c>
    </row>
    <row r="77" spans="2:8" x14ac:dyDescent="0.25">
      <c r="C77" t="str">
        <f t="shared" si="1"/>
        <v>Fiókelőlap típusa</v>
      </c>
      <c r="D77" t="s">
        <v>271</v>
      </c>
      <c r="E77" t="s">
        <v>271</v>
      </c>
      <c r="F77" t="s">
        <v>272</v>
      </c>
      <c r="G77" t="s">
        <v>273</v>
      </c>
      <c r="H77" t="s">
        <v>274</v>
      </c>
    </row>
    <row r="78" spans="2:8" x14ac:dyDescent="0.25">
      <c r="C78" t="str">
        <f t="shared" si="1"/>
        <v>üveg</v>
      </c>
      <c r="D78" s="65" t="s">
        <v>275</v>
      </c>
      <c r="E78" t="s">
        <v>275</v>
      </c>
      <c r="F78" t="s">
        <v>276</v>
      </c>
      <c r="G78" t="s">
        <v>277</v>
      </c>
      <c r="H78" t="s">
        <v>278</v>
      </c>
    </row>
    <row r="79" spans="2:8" x14ac:dyDescent="0.25">
      <c r="C79" t="str">
        <f t="shared" si="1"/>
        <v>alu profil</v>
      </c>
      <c r="D79" s="65" t="s">
        <v>279</v>
      </c>
      <c r="E79" t="s">
        <v>279</v>
      </c>
      <c r="F79" t="s">
        <v>280</v>
      </c>
      <c r="G79" t="s">
        <v>279</v>
      </c>
      <c r="H79" t="s">
        <v>281</v>
      </c>
    </row>
    <row r="80" spans="2:8" x14ac:dyDescent="0.25">
      <c r="C80" t="str">
        <f t="shared" si="1"/>
        <v>Fogantyúprofil esetén kérjük ellenőrizni az előlapi vasalat pozícióját, hogy ne ütközzön a fogantyúprofillal, különösen, ha a profil bemarással készül</v>
      </c>
      <c r="D80" s="65" t="s">
        <v>282</v>
      </c>
      <c r="E80" t="s">
        <v>283</v>
      </c>
      <c r="F80" t="s">
        <v>284</v>
      </c>
      <c r="G80" t="s">
        <v>285</v>
      </c>
    </row>
    <row r="81" spans="3:9" x14ac:dyDescent="0.25">
      <c r="C81" t="str">
        <f t="shared" si="1"/>
        <v>Élelmiszer szekrény</v>
      </c>
      <c r="D81" t="s">
        <v>286</v>
      </c>
      <c r="E81" t="s">
        <v>287</v>
      </c>
      <c r="F81" t="s">
        <v>288</v>
      </c>
      <c r="G81" t="s">
        <v>289</v>
      </c>
      <c r="H81" t="s">
        <v>290</v>
      </c>
    </row>
    <row r="82" spans="3:9" x14ac:dyDescent="0.25">
      <c r="C82" t="str">
        <f t="shared" si="1"/>
        <v>tömör oldalfal</v>
      </c>
      <c r="D82" t="s">
        <v>291</v>
      </c>
      <c r="E82" t="s">
        <v>292</v>
      </c>
      <c r="F82" t="s">
        <v>293</v>
      </c>
      <c r="G82" t="s">
        <v>294</v>
      </c>
      <c r="H82" t="s">
        <v>295</v>
      </c>
    </row>
    <row r="83" spans="3:9" x14ac:dyDescent="0.25">
      <c r="C83" t="str">
        <f t="shared" si="1"/>
        <v>üvegezett oldalfal</v>
      </c>
      <c r="D83" s="65" t="s">
        <v>296</v>
      </c>
      <c r="E83" t="s">
        <v>297</v>
      </c>
      <c r="F83" t="s">
        <v>298</v>
      </c>
      <c r="G83" t="s">
        <v>299</v>
      </c>
      <c r="H83" t="s">
        <v>300</v>
      </c>
    </row>
    <row r="84" spans="3:9" x14ac:dyDescent="0.25">
      <c r="C84" t="str">
        <f t="shared" si="1"/>
        <v>Fiókoldal típusa</v>
      </c>
      <c r="D84" t="s">
        <v>301</v>
      </c>
      <c r="E84" t="s">
        <v>301</v>
      </c>
      <c r="F84" t="s">
        <v>302</v>
      </c>
      <c r="G84" t="s">
        <v>303</v>
      </c>
      <c r="H84" t="s">
        <v>304</v>
      </c>
    </row>
    <row r="85" spans="3:9" x14ac:dyDescent="0.25">
      <c r="C85" t="str">
        <f t="shared" si="1"/>
        <v>A polc magasságának kiszámítása a fiókok felett</v>
      </c>
      <c r="D85" t="s">
        <v>305</v>
      </c>
      <c r="E85" t="s">
        <v>306</v>
      </c>
      <c r="F85" t="s">
        <v>307</v>
      </c>
      <c r="G85" t="s">
        <v>308</v>
      </c>
      <c r="H85" t="s">
        <v>309</v>
      </c>
    </row>
    <row r="86" spans="3:9" x14ac:dyDescent="0.25">
      <c r="C86" t="str">
        <f t="shared" si="1"/>
        <v>A fiók hasznos magassága</v>
      </c>
      <c r="D86" t="s">
        <v>310</v>
      </c>
      <c r="E86" t="s">
        <v>311</v>
      </c>
      <c r="F86" t="s">
        <v>312</v>
      </c>
      <c r="G86" t="s">
        <v>313</v>
      </c>
      <c r="H86" t="s">
        <v>314</v>
      </c>
    </row>
    <row r="87" spans="3:9" x14ac:dyDescent="0.25">
      <c r="C87" t="str">
        <f t="shared" si="1"/>
        <v>válassza ki a fiók hasznos magasságát</v>
      </c>
      <c r="D87" t="s">
        <v>315</v>
      </c>
      <c r="E87" t="s">
        <v>316</v>
      </c>
      <c r="F87" t="s">
        <v>317</v>
      </c>
      <c r="G87" t="s">
        <v>318</v>
      </c>
      <c r="H87" t="s">
        <v>319</v>
      </c>
    </row>
    <row r="88" spans="3:9" x14ac:dyDescent="0.25">
      <c r="C88" t="str">
        <f t="shared" si="1"/>
        <v>A korpusz belső magasságának kiszámítása</v>
      </c>
      <c r="D88" t="s">
        <v>320</v>
      </c>
      <c r="E88" t="s">
        <v>321</v>
      </c>
      <c r="F88" t="s">
        <v>322</v>
      </c>
      <c r="G88" t="s">
        <v>323</v>
      </c>
      <c r="H88" t="s">
        <v>324</v>
      </c>
    </row>
    <row r="89" spans="3:9" x14ac:dyDescent="0.25">
      <c r="C89" t="str">
        <f t="shared" si="1"/>
        <v>Lesz polc a korpusz felső részében?</v>
      </c>
      <c r="D89" t="s">
        <v>325</v>
      </c>
      <c r="E89" t="s">
        <v>326</v>
      </c>
      <c r="F89" t="s">
        <v>327</v>
      </c>
      <c r="G89" t="s">
        <v>328</v>
      </c>
      <c r="H89" t="s">
        <v>329</v>
      </c>
    </row>
    <row r="90" spans="3:9" x14ac:dyDescent="0.25">
      <c r="C90" t="str">
        <f t="shared" si="1"/>
        <v>A polc belső magassága</v>
      </c>
      <c r="D90" t="s">
        <v>330</v>
      </c>
      <c r="E90" t="s">
        <v>331</v>
      </c>
      <c r="F90" t="s">
        <v>332</v>
      </c>
      <c r="G90" t="s">
        <v>333</v>
      </c>
      <c r="H90" t="s">
        <v>334</v>
      </c>
    </row>
    <row r="91" spans="3:9" x14ac:dyDescent="0.25">
      <c r="C91" t="str">
        <f t="shared" si="1"/>
        <v>Megrendelési kódok:</v>
      </c>
      <c r="D91" t="s">
        <v>335</v>
      </c>
      <c r="E91" t="s">
        <v>336</v>
      </c>
      <c r="F91" t="s">
        <v>337</v>
      </c>
      <c r="G91" t="s">
        <v>338</v>
      </c>
      <c r="H91" t="s">
        <v>339</v>
      </c>
      <c r="I91" t="s">
        <v>340</v>
      </c>
    </row>
    <row r="92" spans="3:9" x14ac:dyDescent="0.25">
      <c r="C92" t="str">
        <f t="shared" si="1"/>
        <v>Fióksínek:</v>
      </c>
      <c r="D92" t="s">
        <v>341</v>
      </c>
      <c r="E92" t="s">
        <v>341</v>
      </c>
      <c r="F92" t="s">
        <v>342</v>
      </c>
      <c r="G92" t="s">
        <v>343</v>
      </c>
      <c r="H92" t="s">
        <v>344</v>
      </c>
    </row>
    <row r="93" spans="3:9" x14ac:dyDescent="0.25">
      <c r="C93" t="str">
        <f t="shared" si="1"/>
        <v>Mennyiség</v>
      </c>
      <c r="D93" t="s">
        <v>345</v>
      </c>
      <c r="E93" t="s">
        <v>346</v>
      </c>
      <c r="F93" t="s">
        <v>347</v>
      </c>
      <c r="G93" t="s">
        <v>348</v>
      </c>
      <c r="H93" t="s">
        <v>349</v>
      </c>
    </row>
    <row r="94" spans="3:9" x14ac:dyDescent="0.25">
      <c r="C94" t="str">
        <f t="shared" si="1"/>
        <v>Kod</v>
      </c>
      <c r="D94" s="13" t="s">
        <v>350</v>
      </c>
      <c r="E94" s="13" t="s">
        <v>350</v>
      </c>
      <c r="F94" s="13" t="s">
        <v>350</v>
      </c>
      <c r="G94" s="75" t="s">
        <v>351</v>
      </c>
      <c r="H94" t="s">
        <v>352</v>
      </c>
      <c r="I94" t="s">
        <v>353</v>
      </c>
    </row>
    <row r="95" spans="3:9" x14ac:dyDescent="0.25">
      <c r="C95" t="str">
        <f t="shared" si="1"/>
        <v>Megnevezés</v>
      </c>
      <c r="D95" s="76" t="s">
        <v>354</v>
      </c>
      <c r="E95" t="s">
        <v>355</v>
      </c>
      <c r="F95" s="71" t="s">
        <v>356</v>
      </c>
      <c r="G95" t="s">
        <v>357</v>
      </c>
      <c r="H95" t="s">
        <v>358</v>
      </c>
      <c r="I95" t="s">
        <v>359</v>
      </c>
    </row>
    <row r="96" spans="3:9" x14ac:dyDescent="0.25">
      <c r="C96" t="str">
        <f t="shared" si="1"/>
        <v>Előlapok méretre vágása</v>
      </c>
      <c r="D96" t="s">
        <v>360</v>
      </c>
      <c r="E96" t="s">
        <v>361</v>
      </c>
      <c r="F96" t="s">
        <v>2186</v>
      </c>
      <c r="G96" t="s">
        <v>362</v>
      </c>
      <c r="H96" t="s">
        <v>363</v>
      </c>
    </row>
    <row r="97" spans="2:8" x14ac:dyDescent="0.25">
      <c r="C97" t="str">
        <f t="shared" si="1"/>
        <v>Fióksín típusa</v>
      </c>
      <c r="D97" t="s">
        <v>364</v>
      </c>
      <c r="E97" t="s">
        <v>364</v>
      </c>
      <c r="F97" t="s">
        <v>365</v>
      </c>
      <c r="G97" t="s">
        <v>366</v>
      </c>
      <c r="H97" t="s">
        <v>367</v>
      </c>
    </row>
    <row r="98" spans="2:8" x14ac:dyDescent="0.25">
      <c r="C98" t="str">
        <f t="shared" si="1"/>
        <v xml:space="preserve"> teljes kihúzású</v>
      </c>
      <c r="D98" s="3" t="s">
        <v>368</v>
      </c>
      <c r="E98" s="3" t="s">
        <v>369</v>
      </c>
      <c r="F98" s="3" t="s">
        <v>370</v>
      </c>
      <c r="G98" s="3" t="s">
        <v>371</v>
      </c>
      <c r="H98" s="3" t="s">
        <v>372</v>
      </c>
    </row>
    <row r="99" spans="2:8" x14ac:dyDescent="0.25">
      <c r="C99" t="str">
        <f t="shared" si="1"/>
        <v>részleges kihúzású</v>
      </c>
      <c r="D99" s="3" t="s">
        <v>373</v>
      </c>
      <c r="E99" s="3" t="s">
        <v>374</v>
      </c>
      <c r="F99" s="3" t="s">
        <v>375</v>
      </c>
      <c r="G99" s="3" t="s">
        <v>376</v>
      </c>
      <c r="H99" s="3" t="s">
        <v>377</v>
      </c>
    </row>
    <row r="100" spans="2:8" x14ac:dyDescent="0.25">
      <c r="C100" t="str">
        <f t="shared" si="1"/>
        <v>Távolság az élétől</v>
      </c>
      <c r="D100" t="s">
        <v>378</v>
      </c>
      <c r="E100" t="s">
        <v>379</v>
      </c>
      <c r="F100" t="s">
        <v>380</v>
      </c>
      <c r="G100" t="s">
        <v>381</v>
      </c>
      <c r="H100" t="s">
        <v>382</v>
      </c>
    </row>
    <row r="101" spans="2:8" x14ac:dyDescent="0.25">
      <c r="C101" t="str">
        <f t="shared" si="1"/>
        <v>Az első fiók hátfalának fúrása</v>
      </c>
      <c r="D101" t="s">
        <v>383</v>
      </c>
      <c r="E101" t="s">
        <v>384</v>
      </c>
      <c r="F101" t="s">
        <v>385</v>
      </c>
      <c r="G101" t="s">
        <v>386</v>
      </c>
      <c r="H101" t="s">
        <v>387</v>
      </c>
    </row>
    <row r="102" spans="2:8" x14ac:dyDescent="0.25">
      <c r="B102">
        <v>2</v>
      </c>
      <c r="C102" t="str">
        <f t="shared" si="1"/>
        <v>A második fiók hátfalának fúrása</v>
      </c>
      <c r="D102" t="s">
        <v>388</v>
      </c>
      <c r="E102" t="s">
        <v>389</v>
      </c>
      <c r="F102" t="s">
        <v>390</v>
      </c>
      <c r="G102" t="s">
        <v>391</v>
      </c>
      <c r="H102" t="s">
        <v>392</v>
      </c>
    </row>
    <row r="103" spans="2:8" x14ac:dyDescent="0.25">
      <c r="B103">
        <v>3</v>
      </c>
      <c r="C103" t="str">
        <f t="shared" si="1"/>
        <v>A harmadik fiók hátfalának fúrása</v>
      </c>
      <c r="D103" t="s">
        <v>393</v>
      </c>
      <c r="E103" t="s">
        <v>394</v>
      </c>
      <c r="F103" t="s">
        <v>395</v>
      </c>
      <c r="G103" t="s">
        <v>396</v>
      </c>
      <c r="H103" t="s">
        <v>397</v>
      </c>
    </row>
    <row r="104" spans="2:8" x14ac:dyDescent="0.25">
      <c r="B104">
        <v>4</v>
      </c>
      <c r="C104" t="str">
        <f t="shared" si="1"/>
        <v>A negyedik fiók hátfalának fúrása</v>
      </c>
      <c r="D104" t="s">
        <v>398</v>
      </c>
      <c r="E104" t="s">
        <v>399</v>
      </c>
      <c r="F104" t="s">
        <v>400</v>
      </c>
      <c r="G104" t="s">
        <v>401</v>
      </c>
      <c r="H104" t="s">
        <v>402</v>
      </c>
    </row>
    <row r="105" spans="2:8" x14ac:dyDescent="0.25">
      <c r="B105">
        <v>5</v>
      </c>
      <c r="C105" t="str">
        <f t="shared" si="1"/>
        <v>Az ötödik fiók hátfalának fúrása</v>
      </c>
      <c r="D105" t="s">
        <v>403</v>
      </c>
      <c r="E105" t="s">
        <v>404</v>
      </c>
      <c r="F105" t="s">
        <v>405</v>
      </c>
      <c r="G105" t="s">
        <v>406</v>
      </c>
      <c r="H105" t="s">
        <v>407</v>
      </c>
    </row>
    <row r="106" spans="2:8" x14ac:dyDescent="0.25">
      <c r="C106" t="str">
        <f t="shared" si="1"/>
        <v>Válassza ki a korpusz típusát:</v>
      </c>
      <c r="D106" t="s">
        <v>408</v>
      </c>
      <c r="E106" t="s">
        <v>409</v>
      </c>
      <c r="F106" t="s">
        <v>410</v>
      </c>
      <c r="G106" t="s">
        <v>411</v>
      </c>
      <c r="H106" t="s">
        <v>412</v>
      </c>
    </row>
    <row r="107" spans="2:8" x14ac:dyDescent="0.25">
      <c r="C107" t="str">
        <f t="shared" si="1"/>
        <v>Előlapi profil:</v>
      </c>
      <c r="D107" t="s">
        <v>413</v>
      </c>
      <c r="E107" t="s">
        <v>414</v>
      </c>
      <c r="F107" t="s">
        <v>415</v>
      </c>
      <c r="G107" t="s">
        <v>416</v>
      </c>
      <c r="H107" t="s">
        <v>417</v>
      </c>
    </row>
    <row r="108" spans="2:8" x14ac:dyDescent="0.25">
      <c r="C108" t="str">
        <f t="shared" si="1"/>
        <v>Előlapi profil tartó:</v>
      </c>
      <c r="D108" t="s">
        <v>418</v>
      </c>
      <c r="E108" t="s">
        <v>419</v>
      </c>
      <c r="F108" t="s">
        <v>420</v>
      </c>
      <c r="G108" t="s">
        <v>421</v>
      </c>
      <c r="H108" t="s">
        <v>422</v>
      </c>
    </row>
    <row r="109" spans="2:8" x14ac:dyDescent="0.25">
      <c r="C109" t="str">
        <f t="shared" si="1"/>
        <v>Előlapi fogantyú reling:</v>
      </c>
      <c r="D109" t="s">
        <v>423</v>
      </c>
      <c r="E109" t="s">
        <v>424</v>
      </c>
      <c r="F109" t="s">
        <v>425</v>
      </c>
      <c r="G109" t="s">
        <v>426</v>
      </c>
      <c r="H109" t="s">
        <v>427</v>
      </c>
    </row>
    <row r="110" spans="2:8" x14ac:dyDescent="0.25">
      <c r="C110" t="str">
        <f t="shared" si="1"/>
        <v>Oldalfalak:</v>
      </c>
      <c r="D110" t="s">
        <v>428</v>
      </c>
      <c r="E110" t="s">
        <v>428</v>
      </c>
      <c r="F110" t="s">
        <v>429</v>
      </c>
      <c r="G110" t="s">
        <v>430</v>
      </c>
      <c r="H110" t="s">
        <v>431</v>
      </c>
    </row>
    <row r="111" spans="2:8" x14ac:dyDescent="0.25">
      <c r="C111" t="str">
        <f t="shared" si="1"/>
        <v>Helytelenül beállított fióktípus – kérjük ellenőrizze a fenti táblázatot</v>
      </c>
      <c r="D111" t="s">
        <v>432</v>
      </c>
      <c r="E111" t="s">
        <v>433</v>
      </c>
      <c r="F111" t="s">
        <v>434</v>
      </c>
      <c r="G111" t="s">
        <v>435</v>
      </c>
      <c r="H111" t="s">
        <v>436</v>
      </c>
    </row>
    <row r="112" spans="2:8" x14ac:dyDescent="0.25">
      <c r="C112" t="str">
        <f t="shared" si="1"/>
        <v>Üveg előlap:</v>
      </c>
      <c r="D112" t="s">
        <v>437</v>
      </c>
      <c r="E112" t="s">
        <v>438</v>
      </c>
      <c r="F112" t="s">
        <v>439</v>
      </c>
      <c r="G112" t="s">
        <v>440</v>
      </c>
      <c r="H112" t="s">
        <v>441</v>
      </c>
    </row>
    <row r="113" spans="3:8" x14ac:dyDescent="0.25">
      <c r="C113" t="str">
        <f t="shared" si="1"/>
        <v>Nem szabványos korpuszszélességű fiókok esetén az előlapi üveg egy üvegessel legyártható.</v>
      </c>
      <c r="D113" t="s">
        <v>442</v>
      </c>
      <c r="E113" t="s">
        <v>443</v>
      </c>
      <c r="F113" t="s">
        <v>444</v>
      </c>
      <c r="G113" t="s">
        <v>445</v>
      </c>
      <c r="H113" t="s">
        <v>446</v>
      </c>
    </row>
    <row r="114" spans="3:8" x14ac:dyDescent="0.25">
      <c r="C114" t="str">
        <f t="shared" si="1"/>
        <v>Üveg előlap tartók:</v>
      </c>
      <c r="D114" t="s">
        <v>447</v>
      </c>
      <c r="E114" t="s">
        <v>448</v>
      </c>
      <c r="F114" t="s">
        <v>449</v>
      </c>
      <c r="G114" t="s">
        <v>450</v>
      </c>
      <c r="H114" t="s">
        <v>451</v>
      </c>
    </row>
    <row r="115" spans="3:8" x14ac:dyDescent="0.25">
      <c r="C115" t="str">
        <f t="shared" ref="C115:C119" si="2">IF($D$1=1,D:D,IF($D$1=2,E:E,IF($D$1=3,F:F,IF($D$1=4,G:G,IF($D$1=5,H:H)))))</f>
        <v>Alu profil üveg előlaphoz</v>
      </c>
      <c r="D115" t="s">
        <v>452</v>
      </c>
      <c r="E115" t="s">
        <v>453</v>
      </c>
      <c r="F115" t="s">
        <v>454</v>
      </c>
      <c r="G115" t="s">
        <v>455</v>
      </c>
      <c r="H115" t="s">
        <v>456</v>
      </c>
    </row>
    <row r="116" spans="3:8" x14ac:dyDescent="0.25">
      <c r="C116" t="str">
        <f t="shared" si="2"/>
        <v>Konfigurátor</v>
      </c>
      <c r="D116" t="s">
        <v>457</v>
      </c>
      <c r="E116" t="s">
        <v>457</v>
      </c>
      <c r="F116" t="s">
        <v>458</v>
      </c>
      <c r="G116" t="s">
        <v>457</v>
      </c>
      <c r="H116" t="s">
        <v>459</v>
      </c>
    </row>
    <row r="117" spans="3:8" x14ac:dyDescent="0.25">
      <c r="C117" t="str">
        <f t="shared" si="2"/>
        <v>(a hátfal magassága 16 mm vastag fenéklapra van számolva. Ha a fenéklap 18 mm vastag, a hátfal magasságából 2 mm-t le kell vonni)</v>
      </c>
      <c r="D117" t="s">
        <v>460</v>
      </c>
      <c r="E117" t="s">
        <v>461</v>
      </c>
      <c r="F117" t="s">
        <v>462</v>
      </c>
      <c r="G117" t="s">
        <v>463</v>
      </c>
      <c r="H117" t="s">
        <v>464</v>
      </c>
    </row>
    <row r="118" spans="3:8" x14ac:dyDescent="0.25">
      <c r="C118" t="str">
        <f t="shared" si="2"/>
        <v>Következő</v>
      </c>
      <c r="D118" t="s">
        <v>23</v>
      </c>
      <c r="E118" t="s">
        <v>24</v>
      </c>
      <c r="F118" t="s">
        <v>2179</v>
      </c>
      <c r="G118" t="s">
        <v>25</v>
      </c>
      <c r="H118" t="s">
        <v>26</v>
      </c>
    </row>
    <row r="119" spans="3:8" x14ac:dyDescent="0.25">
      <c r="C119" t="str">
        <f t="shared" si="2"/>
        <v>ebben a változatban nincs</v>
      </c>
      <c r="D119" t="s">
        <v>465</v>
      </c>
      <c r="E119" t="s">
        <v>466</v>
      </c>
      <c r="F119" t="s">
        <v>467</v>
      </c>
      <c r="G119" t="s">
        <v>468</v>
      </c>
      <c r="H119" t="s">
        <v>469</v>
      </c>
    </row>
  </sheetData>
  <phoneticPr fontId="2" type="noConversion"/>
  <hyperlinks>
    <hyperlink ref="E56" r:id="rId1" xr:uid="{8F2486C9-12C7-44E6-814A-E0906B3843DA}"/>
    <hyperlink ref="D56" r:id="rId2" xr:uid="{35F86764-3746-4675-A519-7CA3D66ADB2B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22F5-FEC0-4D00-8703-4C694FB08934}">
  <sheetPr codeName="List4"/>
  <dimension ref="A7:AE49"/>
  <sheetViews>
    <sheetView workbookViewId="0"/>
  </sheetViews>
  <sheetFormatPr defaultRowHeight="15" x14ac:dyDescent="0.25"/>
  <cols>
    <col min="30" max="30" width="7.85546875" customWidth="1"/>
    <col min="31" max="31" width="16.85546875" customWidth="1"/>
  </cols>
  <sheetData>
    <row r="7" spans="1:31" ht="14.25" customHeight="1" x14ac:dyDescent="0.25">
      <c r="AE7" s="23"/>
    </row>
    <row r="8" spans="1:31" ht="14.25" customHeight="1" x14ac:dyDescent="0.25">
      <c r="AE8" s="24"/>
    </row>
    <row r="9" spans="1:31" ht="14.25" customHeight="1" x14ac:dyDescent="0.25">
      <c r="A9">
        <v>1</v>
      </c>
      <c r="B9" t="s">
        <v>4</v>
      </c>
      <c r="C9" t="e" vm="1">
        <v>#VALUE!</v>
      </c>
      <c r="AE9" s="23"/>
    </row>
    <row r="10" spans="1:31" ht="14.25" customHeight="1" x14ac:dyDescent="0.25">
      <c r="A10">
        <v>2</v>
      </c>
      <c r="B10" t="s">
        <v>5</v>
      </c>
      <c r="C10" t="e" vm="1">
        <v>#VALUE!</v>
      </c>
      <c r="AE10" s="24"/>
    </row>
    <row r="11" spans="1:31" ht="14.25" customHeight="1" x14ac:dyDescent="0.25">
      <c r="A11">
        <v>3</v>
      </c>
      <c r="B11" t="s">
        <v>6</v>
      </c>
      <c r="C11" t="e" vm="2">
        <v>#VALUE!</v>
      </c>
      <c r="AE11" s="23"/>
    </row>
    <row r="12" spans="1:31" ht="14.25" customHeight="1" x14ac:dyDescent="0.25">
      <c r="A12">
        <v>4</v>
      </c>
      <c r="B12" t="s">
        <v>7</v>
      </c>
      <c r="C12" t="e" vm="3">
        <v>#VALUE!</v>
      </c>
      <c r="AE12" s="22"/>
    </row>
    <row r="13" spans="1:31" ht="14.25" customHeight="1" x14ac:dyDescent="0.25">
      <c r="A13">
        <v>5</v>
      </c>
      <c r="B13" t="s">
        <v>8</v>
      </c>
      <c r="C13" t="e" vm="4">
        <v>#VALUE!</v>
      </c>
      <c r="AE13" s="25"/>
    </row>
    <row r="14" spans="1:31" ht="14.25" customHeight="1" x14ac:dyDescent="0.25">
      <c r="A14">
        <v>6</v>
      </c>
      <c r="B14" t="s">
        <v>9</v>
      </c>
      <c r="C14" t="e" vm="5">
        <v>#VALUE!</v>
      </c>
      <c r="AE14" s="24"/>
    </row>
    <row r="15" spans="1:31" ht="14.25" customHeight="1" x14ac:dyDescent="0.25">
      <c r="A15">
        <v>7</v>
      </c>
      <c r="B15" t="s">
        <v>470</v>
      </c>
      <c r="C15" t="e" vm="6">
        <v>#VALUE!</v>
      </c>
      <c r="AE15" s="23"/>
    </row>
    <row r="16" spans="1:31" x14ac:dyDescent="0.25">
      <c r="AE16" s="24"/>
    </row>
    <row r="17" spans="3:31" x14ac:dyDescent="0.25">
      <c r="C17" s="2"/>
      <c r="AE17" s="24"/>
    </row>
    <row r="18" spans="3:31" x14ac:dyDescent="0.25">
      <c r="AE18" s="24"/>
    </row>
    <row r="19" spans="3:31" x14ac:dyDescent="0.25">
      <c r="AE19" s="24"/>
    </row>
    <row r="20" spans="3:31" x14ac:dyDescent="0.25">
      <c r="AE20" s="24"/>
    </row>
    <row r="21" spans="3:31" x14ac:dyDescent="0.25">
      <c r="AE21" s="24"/>
    </row>
    <row r="26" spans="3:31" x14ac:dyDescent="0.25">
      <c r="D26" s="21"/>
    </row>
    <row r="44" spans="30:30" x14ac:dyDescent="0.25">
      <c r="AD44" s="2"/>
    </row>
    <row r="49" spans="31:31" x14ac:dyDescent="0.25">
      <c r="AE49" s="26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77C74-C69E-4F8E-87E7-70E3768D5121}">
  <sheetPr codeName="List5"/>
  <dimension ref="A2:XFC157"/>
  <sheetViews>
    <sheetView showGridLines="0" showRowColHeaders="0" workbookViewId="0">
      <selection activeCell="G9" sqref="G9"/>
    </sheetView>
  </sheetViews>
  <sheetFormatPr defaultColWidth="0" defaultRowHeight="15" x14ac:dyDescent="0.25"/>
  <cols>
    <col min="1" max="1" width="10.7109375" customWidth="1"/>
    <col min="2" max="2" width="6.5703125" customWidth="1"/>
    <col min="3" max="3" width="8" customWidth="1"/>
    <col min="4" max="4" width="17.28515625" customWidth="1"/>
    <col min="5" max="5" width="5.42578125" customWidth="1"/>
    <col min="6" max="6" width="6" customWidth="1"/>
    <col min="7" max="7" width="22.140625" customWidth="1"/>
    <col min="8" max="8" width="26.28515625" customWidth="1"/>
    <col min="9" max="9" width="7" customWidth="1"/>
    <col min="10" max="10" width="16.140625" customWidth="1"/>
    <col min="11" max="11" width="7.7109375" customWidth="1"/>
    <col min="12" max="12" width="7.5703125" customWidth="1"/>
    <col min="13" max="14" width="4.140625" customWidth="1"/>
    <col min="15" max="15" width="17.7109375" customWidth="1"/>
    <col min="16" max="16" width="18.85546875" customWidth="1"/>
    <col min="17" max="17" width="11" customWidth="1"/>
    <col min="18" max="18" width="15" hidden="1"/>
    <col min="19" max="19" width="15.5703125" hidden="1"/>
    <col min="20" max="20" width="13" hidden="1"/>
    <col min="21" max="24" width="9.140625" hidden="1"/>
    <col min="25" max="25" width="16.5703125" hidden="1"/>
    <col min="26" max="26" width="9.140625" hidden="1"/>
    <col min="27" max="27" width="17.5703125" hidden="1"/>
    <col min="28" max="28" width="13.140625" hidden="1"/>
    <col min="29" max="29" width="13.42578125" hidden="1"/>
    <col min="30" max="32" width="9.140625" hidden="1"/>
    <col min="33" max="33" width="16.85546875" hidden="1"/>
    <col min="34" max="16383" width="9.140625" hidden="1"/>
    <col min="16384" max="16384" width="4.85546875" hidden="1"/>
  </cols>
  <sheetData>
    <row r="2" spans="1:33" s="6" customFormat="1" ht="15" customHeight="1" x14ac:dyDescent="0.25">
      <c r="A2" s="11"/>
      <c r="B2" s="11"/>
      <c r="C2" s="11"/>
      <c r="D2" s="11"/>
      <c r="E2" s="257" t="str">
        <f>Překlady!C5&amp;" StrongMax"</f>
        <v>Fiókok frontval  StrongMax</v>
      </c>
      <c r="F2" s="257"/>
      <c r="G2" s="257"/>
      <c r="H2" s="257"/>
      <c r="I2" s="257"/>
      <c r="J2" s="257"/>
      <c r="K2" s="257"/>
      <c r="L2" s="257"/>
      <c r="M2" s="257"/>
      <c r="N2" s="163"/>
      <c r="O2" s="163"/>
      <c r="P2" s="255" t="str">
        <f>Překlady!C7</f>
        <v>Bevezetés</v>
      </c>
      <c r="Q2" s="255"/>
      <c r="R2"/>
      <c r="S2"/>
      <c r="T2"/>
    </row>
    <row r="3" spans="1:33" s="6" customFormat="1" ht="10.5" customHeight="1" x14ac:dyDescent="0.25">
      <c r="A3" s="11"/>
      <c r="B3" s="11"/>
      <c r="C3" s="11"/>
      <c r="D3" s="11"/>
      <c r="E3" s="257"/>
      <c r="F3" s="257"/>
      <c r="G3" s="257"/>
      <c r="H3" s="257"/>
      <c r="I3" s="257"/>
      <c r="J3" s="257"/>
      <c r="K3" s="257"/>
      <c r="L3" s="257"/>
      <c r="M3" s="257"/>
      <c r="N3" s="163"/>
      <c r="O3" s="163"/>
      <c r="P3" s="255"/>
      <c r="Q3" s="255"/>
      <c r="R3"/>
      <c r="S3"/>
      <c r="T3"/>
    </row>
    <row r="4" spans="1:33" x14ac:dyDescent="0.25">
      <c r="AG4" t="s">
        <v>471</v>
      </c>
    </row>
    <row r="5" spans="1:33" x14ac:dyDescent="0.25">
      <c r="V5" t="s">
        <v>472</v>
      </c>
      <c r="W5" t="s">
        <v>473</v>
      </c>
      <c r="X5" t="s">
        <v>474</v>
      </c>
      <c r="Y5" t="s">
        <v>475</v>
      </c>
      <c r="Z5" t="s">
        <v>476</v>
      </c>
      <c r="AA5" t="str">
        <f>Překlady!C31</f>
        <v>fehér</v>
      </c>
      <c r="AC5" t="s">
        <v>477</v>
      </c>
      <c r="AD5" t="s">
        <v>472</v>
      </c>
      <c r="AG5" t="str">
        <f>Překlady!C67</f>
        <v>igen</v>
      </c>
    </row>
    <row r="6" spans="1:33" x14ac:dyDescent="0.25">
      <c r="V6">
        <v>89</v>
      </c>
      <c r="W6">
        <v>89</v>
      </c>
      <c r="X6">
        <v>89</v>
      </c>
      <c r="Y6">
        <v>89</v>
      </c>
      <c r="Z6">
        <v>59</v>
      </c>
      <c r="AA6" t="str">
        <f>Překlady!C32</f>
        <v>fekete</v>
      </c>
      <c r="AC6" t="s">
        <v>478</v>
      </c>
      <c r="AD6" t="s">
        <v>473</v>
      </c>
      <c r="AG6" t="str">
        <f>Překlady!C68</f>
        <v>nem</v>
      </c>
    </row>
    <row r="7" spans="1:33" x14ac:dyDescent="0.25">
      <c r="W7">
        <v>121</v>
      </c>
      <c r="X7">
        <v>121</v>
      </c>
      <c r="Y7">
        <v>121</v>
      </c>
      <c r="Z7">
        <v>91</v>
      </c>
      <c r="AA7" t="str">
        <f>Překlady!C33</f>
        <v>szürke</v>
      </c>
      <c r="AC7" t="s">
        <v>479</v>
      </c>
      <c r="AD7" t="s">
        <v>474</v>
      </c>
      <c r="AG7" t="str">
        <f>Překlady!C35</f>
        <v>üveggel nem lehetséges</v>
      </c>
    </row>
    <row r="8" spans="1:33" x14ac:dyDescent="0.25">
      <c r="B8" s="56" t="str">
        <f>Překlady!C29</f>
        <v>A korpusz méretei mm-ben</v>
      </c>
      <c r="C8" s="56"/>
      <c r="D8" s="56"/>
      <c r="E8" s="56"/>
      <c r="F8" s="56"/>
      <c r="G8" s="56"/>
      <c r="H8" s="1"/>
      <c r="M8" s="21"/>
      <c r="X8">
        <v>185</v>
      </c>
      <c r="Y8">
        <v>185</v>
      </c>
      <c r="Z8">
        <v>155</v>
      </c>
      <c r="AC8" t="s">
        <v>480</v>
      </c>
      <c r="AD8" t="s">
        <v>475</v>
      </c>
    </row>
    <row r="9" spans="1:33" x14ac:dyDescent="0.25">
      <c r="B9" s="259" t="str">
        <f>Překlady!C9</f>
        <v>Korpuszmagasság (A)</v>
      </c>
      <c r="C9" s="260"/>
      <c r="D9" s="260"/>
      <c r="E9" s="260"/>
      <c r="F9" s="261"/>
      <c r="G9" s="57"/>
      <c r="H9" s="1"/>
      <c r="M9" s="2"/>
      <c r="Y9">
        <v>249</v>
      </c>
      <c r="Z9">
        <v>219</v>
      </c>
    </row>
    <row r="10" spans="1:33" x14ac:dyDescent="0.25">
      <c r="B10" s="259" t="str">
        <f>Překlady!C10</f>
        <v>Korpuszszélesség (B)</v>
      </c>
      <c r="C10" s="260"/>
      <c r="D10" s="260"/>
      <c r="E10" s="260"/>
      <c r="F10" s="261"/>
      <c r="G10" s="57"/>
      <c r="H10" s="1"/>
      <c r="M10" s="21"/>
    </row>
    <row r="11" spans="1:33" ht="32.25" customHeight="1" x14ac:dyDescent="0.25">
      <c r="B11" s="262" t="str">
        <f>Překlady!C76</f>
        <v>A fiók maximális ajánlott szélessége a fióksín hosszának 1,6-szorosa</v>
      </c>
      <c r="C11" s="263"/>
      <c r="D11" s="263"/>
      <c r="E11" s="263"/>
      <c r="F11" s="263"/>
      <c r="G11" s="264"/>
      <c r="H11" s="1"/>
      <c r="M11" s="21"/>
    </row>
    <row r="12" spans="1:33" x14ac:dyDescent="0.25">
      <c r="B12" s="259" t="str">
        <f>Překlady!C11</f>
        <v>Alsó és felső fal vastagság ©</v>
      </c>
      <c r="C12" s="260"/>
      <c r="D12" s="260"/>
      <c r="E12" s="260"/>
      <c r="F12" s="261"/>
      <c r="G12" s="57"/>
      <c r="H12" s="1"/>
      <c r="M12" s="21"/>
    </row>
    <row r="13" spans="1:33" x14ac:dyDescent="0.25">
      <c r="B13" s="259" t="str">
        <f>Překlady!C12</f>
        <v>Oldalfal vastagság (D)</v>
      </c>
      <c r="C13" s="260"/>
      <c r="D13" s="260"/>
      <c r="E13" s="260"/>
      <c r="F13" s="261"/>
      <c r="G13" s="57"/>
      <c r="H13" s="1"/>
    </row>
    <row r="14" spans="1:33" x14ac:dyDescent="0.25">
      <c r="B14" s="259" t="str">
        <f>Překlady!C13</f>
        <v>Rés a felső részen (E)</v>
      </c>
      <c r="C14" s="260"/>
      <c r="D14" s="260"/>
      <c r="E14" s="260"/>
      <c r="F14" s="261"/>
      <c r="G14" s="58"/>
      <c r="H14" s="1"/>
    </row>
    <row r="15" spans="1:33" x14ac:dyDescent="0.25">
      <c r="B15" s="259" t="str">
        <f>Překlady!C14</f>
        <v>Frontok közötti réstávolság (F)</v>
      </c>
      <c r="C15" s="260"/>
      <c r="D15" s="260"/>
      <c r="E15" s="260"/>
      <c r="F15" s="261"/>
      <c r="G15" s="58"/>
      <c r="H15" s="36"/>
    </row>
    <row r="16" spans="1:33" x14ac:dyDescent="0.25">
      <c r="B16" s="259" t="str">
        <f>Překlady!C15</f>
        <v>Túlnyúlás a korpusz alja alatt (G)</v>
      </c>
      <c r="C16" s="260"/>
      <c r="D16" s="260"/>
      <c r="E16" s="260"/>
      <c r="F16" s="261"/>
      <c r="G16" s="58"/>
      <c r="H16" s="36"/>
    </row>
    <row r="17" spans="1:36" x14ac:dyDescent="0.25">
      <c r="B17" s="259" t="str">
        <f>Překlady!C16</f>
        <v>Oldalsó rések (H)</v>
      </c>
      <c r="C17" s="260"/>
      <c r="D17" s="260"/>
      <c r="E17" s="260"/>
      <c r="F17" s="261"/>
      <c r="G17" s="58"/>
      <c r="H17" s="36"/>
    </row>
    <row r="18" spans="1:36" x14ac:dyDescent="0.25">
      <c r="B18" s="259" t="str">
        <f>Překlady!C17</f>
        <v>Fióksín hossz (I)</v>
      </c>
      <c r="C18" s="260"/>
      <c r="D18" s="260"/>
      <c r="E18" s="260"/>
      <c r="F18" s="261"/>
      <c r="G18" s="57"/>
      <c r="H18" s="36"/>
    </row>
    <row r="19" spans="1:36" x14ac:dyDescent="0.25">
      <c r="B19" s="259" t="str">
        <f>Překlady!C18</f>
        <v>Fiókok száma</v>
      </c>
      <c r="C19" s="260"/>
      <c r="D19" s="260"/>
      <c r="E19" s="260"/>
      <c r="F19" s="261"/>
      <c r="G19" s="57"/>
      <c r="H19" s="1"/>
    </row>
    <row r="20" spans="1:36" x14ac:dyDescent="0.25">
      <c r="B20" s="259" t="str">
        <f>Překlady!C20</f>
        <v>Tartalmaz a front fogantyúprofilt?</v>
      </c>
      <c r="C20" s="260"/>
      <c r="D20" s="260"/>
      <c r="E20" s="260"/>
      <c r="F20" s="261"/>
      <c r="G20" s="57"/>
      <c r="H20" s="1"/>
    </row>
    <row r="21" spans="1:36" x14ac:dyDescent="0.25">
      <c r="B21" s="259">
        <f>IF(G20=AG5,Překlady!C21,0)</f>
        <v>0</v>
      </c>
      <c r="C21" s="260"/>
      <c r="D21" s="260"/>
      <c r="E21" s="260"/>
      <c r="F21" s="261"/>
      <c r="G21" s="57"/>
      <c r="H21" s="1"/>
    </row>
    <row r="22" spans="1:36" x14ac:dyDescent="0.25">
      <c r="B22" s="259" t="str">
        <f>Překlady!C19</f>
        <v>A frontok magasságának számítása</v>
      </c>
      <c r="C22" s="260"/>
      <c r="D22" s="260"/>
      <c r="E22" s="260"/>
      <c r="F22" s="261"/>
      <c r="G22" s="59">
        <f>(IF($G19&gt;0,G9-AG26,0))-D31-D30-D29-D28-D27</f>
        <v>0</v>
      </c>
      <c r="H22" s="1"/>
    </row>
    <row r="23" spans="1:36" ht="36" customHeight="1" x14ac:dyDescent="0.25"/>
    <row r="25" spans="1:36" ht="23.25" customHeight="1" x14ac:dyDescent="0.25">
      <c r="A25" s="243" t="str">
        <f>Překlady!C37</f>
        <v>Az adatokat mindig alulról kezdje kitölteni</v>
      </c>
      <c r="B25" s="268" t="str">
        <f>Překlady!C27</f>
        <v>Fióksín pozíció</v>
      </c>
      <c r="C25" s="268"/>
      <c r="D25" s="268" t="str">
        <f>IF(G20=AG5,Překlady!C66,Překlady!C28)</f>
        <v>Frontmagasság</v>
      </c>
      <c r="E25" s="269" t="str">
        <f>Překlady!C30</f>
        <v>Szín kiválasztása</v>
      </c>
      <c r="F25" s="270"/>
      <c r="G25" s="268" t="str">
        <f>Překlady!C34</f>
        <v>Válassza ki az oldalfal magasságát</v>
      </c>
      <c r="H25" s="252" t="str">
        <f>Překlady!C69</f>
        <v>Üveg oldalfal igen/nem</v>
      </c>
      <c r="I25" s="256" t="str">
        <f>Překlady!C72</f>
        <v xml:space="preserve">Komplett cikkszáma </v>
      </c>
      <c r="J25" s="256"/>
      <c r="K25" s="256" t="str">
        <f>Překlady!C73</f>
        <v>Komplett elnevezése</v>
      </c>
      <c r="L25" s="256"/>
      <c r="M25" s="256"/>
      <c r="N25" s="256"/>
      <c r="O25" s="256"/>
      <c r="P25" s="256"/>
    </row>
    <row r="26" spans="1:36" ht="23.25" customHeight="1" x14ac:dyDescent="0.25">
      <c r="A26" s="243"/>
      <c r="B26" s="268"/>
      <c r="C26" s="268"/>
      <c r="D26" s="268"/>
      <c r="E26" s="271"/>
      <c r="F26" s="272"/>
      <c r="G26" s="268"/>
      <c r="H26" s="253"/>
      <c r="I26" s="256"/>
      <c r="J26" s="256"/>
      <c r="K26" s="256"/>
      <c r="L26" s="256"/>
      <c r="M26" s="256"/>
      <c r="N26" s="256"/>
      <c r="O26" s="256"/>
      <c r="P26" s="256"/>
      <c r="Z26" t="s">
        <v>481</v>
      </c>
      <c r="AG26">
        <f>SUM($AG$27:$AG$31)</f>
        <v>0</v>
      </c>
    </row>
    <row r="27" spans="1:36" ht="15" customHeight="1" x14ac:dyDescent="0.25">
      <c r="A27" s="243"/>
      <c r="B27" s="247" t="str">
        <f>IF(AND($G$19&gt;4,$G$19&lt;6),Překlady!C26,"")</f>
        <v/>
      </c>
      <c r="C27" s="247"/>
      <c r="D27" s="60"/>
      <c r="E27" s="279"/>
      <c r="F27" s="280"/>
      <c r="G27" s="61"/>
      <c r="H27" s="62"/>
      <c r="I27" s="258" t="str">
        <f>IFERROR(VLOOKUP(AJ27,Karty!$O:$P,2,0),"")</f>
        <v/>
      </c>
      <c r="J27" s="258"/>
      <c r="K27" s="245" t="str">
        <f>IFERROR(VLOOKUP(AJ27,Karty!$O:$Q,3,0),"")</f>
        <v/>
      </c>
      <c r="L27" s="245"/>
      <c r="M27" s="245"/>
      <c r="N27" s="245"/>
      <c r="O27" s="245"/>
      <c r="P27" s="245"/>
      <c r="V27" t="str">
        <f>_xlfn.CONCAT(E27,"_","sklo_ano",G27)</f>
        <v>_sklo_ano</v>
      </c>
      <c r="W27">
        <f>COUNTIF(Karty!$O$3:$P$97,V27)</f>
        <v>0</v>
      </c>
      <c r="Y27" t="e">
        <f>VLOOKUP(G19,AB35:AG39,6,0)</f>
        <v>#N/A</v>
      </c>
      <c r="Z27" s="2" t="e">
        <f>VLOOKUP(Y27,$Y$34:$Z$39,2,0)-G21</f>
        <v>#N/A</v>
      </c>
      <c r="AA27" t="e">
        <f>IF(Z27&gt;272,"89/121/185/249",IF(Z27&gt;206,"89/121/185",IF(Z27&gt;144,"89/121", IF(Z27&gt;112,"89", "nelze"))))</f>
        <v>#N/A</v>
      </c>
      <c r="AB27" t="e">
        <f>VLOOKUP(AA27,$AC$5:$AD$8,2,0)</f>
        <v>#N/A</v>
      </c>
      <c r="AD27" t="s">
        <v>482</v>
      </c>
      <c r="AG27">
        <f>IF(G19=5,(G14+(4*G15)-G16),0)</f>
        <v>0</v>
      </c>
      <c r="AI27" t="str">
        <f>IF(H27=$AG$5,"ano",IF(H27=$AG$6,"ne",IF(H27=$AG$7,"ne","")))</f>
        <v/>
      </c>
      <c r="AJ27" t="str">
        <f>_xlfn.CONCAT(E27,"_","sklo_",AI27,"_",G27,"_",$G$18)</f>
        <v>_sklo___</v>
      </c>
    </row>
    <row r="28" spans="1:36" x14ac:dyDescent="0.25">
      <c r="A28" s="243"/>
      <c r="B28" s="247" t="str">
        <f>IF(AND($G$19&gt;3,$G$19&lt;6),Překlady!C25,"")</f>
        <v/>
      </c>
      <c r="C28" s="247"/>
      <c r="D28" s="60"/>
      <c r="E28" s="279"/>
      <c r="F28" s="280"/>
      <c r="G28" s="61"/>
      <c r="H28" s="62"/>
      <c r="I28" s="258" t="str">
        <f>IFERROR(VLOOKUP(AJ28,Karty!$O:$P,2,0),"")</f>
        <v/>
      </c>
      <c r="J28" s="258"/>
      <c r="K28" s="245" t="str">
        <f>IFERROR(VLOOKUP(AJ28,Karty!$O:$Q,3,0),"")</f>
        <v/>
      </c>
      <c r="L28" s="245"/>
      <c r="M28" s="245"/>
      <c r="N28" s="245"/>
      <c r="O28" s="245"/>
      <c r="P28" s="245"/>
      <c r="V28" s="24" t="str">
        <f>_xlfn.CONCAT(E27,"_","sklo_ano_",G28,"_",$G$18)</f>
        <v>_sklo_ano__</v>
      </c>
      <c r="W28">
        <f>COUNTIF(Karty!$O$3:$P$97,V28)</f>
        <v>0</v>
      </c>
      <c r="Y28" t="e">
        <f>VLOOKUP(G19,AB35:AG39,5,0)</f>
        <v>#N/A</v>
      </c>
      <c r="Z28" s="2" t="e">
        <f>VLOOKUP(Y28,$Y$34:$Z$39,2,0)-G21</f>
        <v>#N/A</v>
      </c>
      <c r="AA28" t="e">
        <f>IF(Z28&gt;272,"89/121/185/249",IF(Z28&gt;206,"89/121/185",IF(Z28&gt;144,"89/121", IF(Z28&gt;112,"89", "nelze"))))</f>
        <v>#N/A</v>
      </c>
      <c r="AB28" t="e">
        <f>VLOOKUP(AA28,$AC$5:$AD$8,2,0)</f>
        <v>#N/A</v>
      </c>
      <c r="AD28" t="s">
        <v>482</v>
      </c>
      <c r="AG28">
        <f>IF(G19=4,(G14+(3*G15)-G16),0)</f>
        <v>0</v>
      </c>
      <c r="AI28" t="str">
        <f>IF(H28=$AG$5,"ano",IF(H28=$AG$6,"ne",IF(H28=$AG$7,"ne","")))</f>
        <v/>
      </c>
      <c r="AJ28" t="str">
        <f>_xlfn.CONCAT(E27,"_","sklo_",AI28,"_",G28,"_",$G$18)</f>
        <v>_sklo___</v>
      </c>
    </row>
    <row r="29" spans="1:36" x14ac:dyDescent="0.25">
      <c r="A29" s="243"/>
      <c r="B29" s="247" t="str">
        <f>IF(AND($G$19&gt;2,$G$19&lt;6),Překlady!C24,"")</f>
        <v/>
      </c>
      <c r="C29" s="247"/>
      <c r="D29" s="60"/>
      <c r="E29" s="279"/>
      <c r="F29" s="280"/>
      <c r="G29" s="61"/>
      <c r="H29" s="62"/>
      <c r="I29" s="258" t="str">
        <f>IFERROR(VLOOKUP(AJ29,Karty!$O:$P,2,0),"")</f>
        <v/>
      </c>
      <c r="J29" s="258"/>
      <c r="K29" s="245" t="str">
        <f>IFERROR(VLOOKUP(AJ29,Karty!$O:$Q,3,0),"")</f>
        <v/>
      </c>
      <c r="L29" s="245"/>
      <c r="M29" s="245"/>
      <c r="N29" s="245"/>
      <c r="O29" s="245"/>
      <c r="P29" s="245"/>
      <c r="V29" s="24" t="str">
        <f>_xlfn.CONCAT(E27,"_","sklo_ano_",G29,"_",$G$18)</f>
        <v>_sklo_ano__</v>
      </c>
      <c r="W29">
        <f>COUNTIF(Karty!$O$3:$P$97,V29)</f>
        <v>0</v>
      </c>
      <c r="Y29" t="e">
        <f>VLOOKUP(G19,AB35:AG39,4,0)</f>
        <v>#N/A</v>
      </c>
      <c r="Z29" s="2" t="e">
        <f>VLOOKUP(Y29,$Y$34:$Z$39,2,0)-G21</f>
        <v>#N/A</v>
      </c>
      <c r="AA29" t="e">
        <f>IF(Z29&gt;272,"89/121/185/249",IF(Z29&gt;206,"89/121/185",IF(Z29&gt;144,"89/121", IF(Z29&gt;112,"89", "nelze"))))</f>
        <v>#N/A</v>
      </c>
      <c r="AB29" t="e">
        <f>VLOOKUP(AA29,$AC$5:$AD$8,2,0)</f>
        <v>#N/A</v>
      </c>
      <c r="AD29" t="s">
        <v>482</v>
      </c>
      <c r="AG29">
        <f>IF(G19=3,(G14+(2*G15)-G16),0)</f>
        <v>0</v>
      </c>
      <c r="AI29" t="str">
        <f>IF(H29=$AG$5,"ano",IF(H29=$AG$6,"ne",IF(H29=$AG$7,"ne","")))</f>
        <v/>
      </c>
      <c r="AJ29" t="str">
        <f>_xlfn.CONCAT(E27,"_","sklo_",AI29,"_",G29,"_",$G$18)</f>
        <v>_sklo___</v>
      </c>
    </row>
    <row r="30" spans="1:36" x14ac:dyDescent="0.25">
      <c r="A30" s="243"/>
      <c r="B30" s="247" t="str">
        <f>IF(AND($G$19&gt;1,$G$19&lt;6),Překlady!C23,"")</f>
        <v/>
      </c>
      <c r="C30" s="247"/>
      <c r="D30" s="60"/>
      <c r="E30" s="279"/>
      <c r="F30" s="280"/>
      <c r="G30" s="61"/>
      <c r="H30" s="62"/>
      <c r="I30" s="258" t="str">
        <f>IFERROR(VLOOKUP(AJ30,Karty!$O:$P,2,0),"")</f>
        <v/>
      </c>
      <c r="J30" s="258"/>
      <c r="K30" s="245" t="str">
        <f>IFERROR(VLOOKUP(AJ30,Karty!$O:$Q,3,0),"")</f>
        <v/>
      </c>
      <c r="L30" s="245"/>
      <c r="M30" s="245"/>
      <c r="N30" s="245"/>
      <c r="O30" s="245"/>
      <c r="P30" s="245"/>
      <c r="V30" s="24" t="str">
        <f>_xlfn.CONCAT(E27,"_","sklo_ano_",G30,"_",$G$18)</f>
        <v>_sklo_ano__</v>
      </c>
      <c r="W30">
        <f>COUNTIF(Karty!$O$3:$P$97,V30)</f>
        <v>0</v>
      </c>
      <c r="Y30" t="e">
        <f>VLOOKUP(G19,AB35:AD39,3,0)</f>
        <v>#N/A</v>
      </c>
      <c r="Z30" s="2" t="e">
        <f>VLOOKUP(Y30,$Y$34:$Z$39,2,0)-G21</f>
        <v>#N/A</v>
      </c>
      <c r="AA30" t="e">
        <f>IF(Z30&gt;272,"89/121/185/249",IF(Z30&gt;206,"89/121/185",IF(Z30&gt;144,"89/121", IF(Z30&gt;112,"89", "nelze"))))</f>
        <v>#N/A</v>
      </c>
      <c r="AB30" t="e">
        <f>VLOOKUP(AA30,$AC$5:$AD$8,2,0)</f>
        <v>#N/A</v>
      </c>
      <c r="AD30" t="s">
        <v>482</v>
      </c>
      <c r="AG30">
        <f>IF(G19=2,(G14+G15-G16),0)</f>
        <v>0</v>
      </c>
      <c r="AI30" t="str">
        <f>IF(H30=$AG$5,"ano",IF(H30=$AG$6,"ne",IF(H30=$AG$7,"ne","")))</f>
        <v/>
      </c>
      <c r="AJ30" t="str">
        <f>_xlfn.CONCAT(E27,"_","sklo_",AI30,"_",G30,"_",$G$18)</f>
        <v>_sklo___</v>
      </c>
    </row>
    <row r="31" spans="1:36" x14ac:dyDescent="0.25">
      <c r="A31" s="243"/>
      <c r="B31" s="247" t="str">
        <f>IF(AND($G$19&gt;0,G19&lt;6),Překlady!C22,"")</f>
        <v/>
      </c>
      <c r="C31" s="247"/>
      <c r="D31" s="61"/>
      <c r="E31" s="281"/>
      <c r="F31" s="282"/>
      <c r="G31" s="61"/>
      <c r="H31" s="62"/>
      <c r="I31" s="258" t="str">
        <f>IFERROR(VLOOKUP(AJ31,Karty!$O:$P,2,0),"")</f>
        <v/>
      </c>
      <c r="J31" s="258"/>
      <c r="K31" s="245" t="str">
        <f>IFERROR(VLOOKUP(AJ31,Karty!$O:$Q,3,0),"")</f>
        <v/>
      </c>
      <c r="L31" s="245"/>
      <c r="M31" s="245"/>
      <c r="N31" s="245"/>
      <c r="O31" s="245"/>
      <c r="P31" s="245"/>
      <c r="V31" s="24" t="str">
        <f>_xlfn.CONCAT(E27,"_","sklo_ano_",G31,"_",$G$18)</f>
        <v>_sklo_ano__</v>
      </c>
      <c r="W31">
        <f>COUNTIF(Karty!$O$3:$P$97,V31)</f>
        <v>0</v>
      </c>
      <c r="Y31" t="e">
        <f>VLOOKUP(G19,AB35:AC39,2,0)</f>
        <v>#N/A</v>
      </c>
      <c r="Z31" s="2" t="e">
        <f>VLOOKUP(Y31,$Y$34:$Z$39,2,0)-G21</f>
        <v>#N/A</v>
      </c>
      <c r="AA31" t="e">
        <f>IF(Z31&gt;272,"89/121/185/249",IF(Z31&gt;206,"89/121/185",IF(Z31&gt;144,"89/121", IF(Z31&gt;112,"89", "nelze"))))</f>
        <v>#N/A</v>
      </c>
      <c r="AB31" t="e">
        <f>VLOOKUP(AA31,$AC$5:$AD$8,2,0)</f>
        <v>#N/A</v>
      </c>
      <c r="AD31" t="s">
        <v>482</v>
      </c>
      <c r="AG31">
        <f>IF(G19=1,(G14-G16),0)</f>
        <v>0</v>
      </c>
      <c r="AI31" t="str">
        <f>IF(H31=$AG$5,"ano",IF(H31=$AG$6,"ne",IF(H31=$AG$7,"ne","")))</f>
        <v/>
      </c>
      <c r="AJ31" t="str">
        <f>_xlfn.CONCAT(E27,"_","sklo_",AI31,"_",G31,"_",$G$18)</f>
        <v>_sklo___</v>
      </c>
    </row>
    <row r="32" spans="1:36" x14ac:dyDescent="0.25">
      <c r="D32" s="31"/>
      <c r="E32" s="31"/>
      <c r="F32" s="31"/>
      <c r="G32" s="31"/>
      <c r="H32" s="31"/>
      <c r="AD32" t="s">
        <v>483</v>
      </c>
      <c r="AG32">
        <f>IF(G20="ano",G21, 0)</f>
        <v>0</v>
      </c>
    </row>
    <row r="33" spans="1:33" x14ac:dyDescent="0.25">
      <c r="B33" s="5" t="str">
        <f>Překlady!C70</f>
        <v>Megjegyzés: balról jobbra haladva töltse ki</v>
      </c>
    </row>
    <row r="34" spans="1:33" ht="15" customHeight="1" x14ac:dyDescent="0.25">
      <c r="B34" s="5" t="str">
        <f>Překlady!C71</f>
        <v>Megjegyzés: ha változtat, töltsön ki mindent újra, különben az űrlap hibás adatokkal fog dolgozni</v>
      </c>
      <c r="D34" s="2"/>
      <c r="Y34" t="s">
        <v>484</v>
      </c>
      <c r="Z34" s="2">
        <f>G9-G14-G16</f>
        <v>0</v>
      </c>
      <c r="AC34" t="s">
        <v>70</v>
      </c>
      <c r="AD34" t="s">
        <v>73</v>
      </c>
      <c r="AE34" t="s">
        <v>76</v>
      </c>
      <c r="AF34" t="s">
        <v>79</v>
      </c>
      <c r="AG34" t="s">
        <v>82</v>
      </c>
    </row>
    <row r="35" spans="1:33" ht="15" customHeight="1" x14ac:dyDescent="0.25">
      <c r="Y35" t="s">
        <v>485</v>
      </c>
      <c r="Z35" s="2">
        <f>D31-(G15/2)-(G12-G16)</f>
        <v>0</v>
      </c>
      <c r="AB35">
        <v>1</v>
      </c>
      <c r="AC35" t="s">
        <v>484</v>
      </c>
    </row>
    <row r="36" spans="1:33" ht="15" customHeight="1" x14ac:dyDescent="0.25">
      <c r="Y36" t="s">
        <v>486</v>
      </c>
      <c r="Z36" s="2">
        <f>D30</f>
        <v>0</v>
      </c>
      <c r="AB36">
        <v>2</v>
      </c>
      <c r="AC36" t="s">
        <v>485</v>
      </c>
      <c r="AD36" t="s">
        <v>487</v>
      </c>
    </row>
    <row r="37" spans="1:33" ht="18.75" customHeight="1" x14ac:dyDescent="0.25">
      <c r="B37" s="274" t="str">
        <f>Překlady!C52</f>
        <v>Vissza</v>
      </c>
      <c r="C37" s="274"/>
      <c r="D37" s="274"/>
      <c r="Y37" t="s">
        <v>488</v>
      </c>
      <c r="Z37" s="2">
        <f>D29</f>
        <v>0</v>
      </c>
      <c r="AB37">
        <v>3</v>
      </c>
      <c r="AC37" t="s">
        <v>485</v>
      </c>
      <c r="AD37" t="s">
        <v>486</v>
      </c>
      <c r="AE37" t="s">
        <v>487</v>
      </c>
    </row>
    <row r="38" spans="1:33" ht="18.75" customHeight="1" x14ac:dyDescent="0.25">
      <c r="B38" s="274"/>
      <c r="C38" s="274"/>
      <c r="D38" s="274"/>
      <c r="Y38" t="s">
        <v>489</v>
      </c>
      <c r="Z38" s="2">
        <f>D28</f>
        <v>0</v>
      </c>
      <c r="AB38">
        <v>4</v>
      </c>
      <c r="AC38" t="s">
        <v>485</v>
      </c>
      <c r="AD38" t="s">
        <v>486</v>
      </c>
      <c r="AE38" t="s">
        <v>488</v>
      </c>
      <c r="AF38" t="s">
        <v>487</v>
      </c>
    </row>
    <row r="39" spans="1:33" x14ac:dyDescent="0.25">
      <c r="Y39" t="s">
        <v>487</v>
      </c>
      <c r="Z39" s="2">
        <f>Z40-(G12-G14)</f>
        <v>0</v>
      </c>
      <c r="AB39">
        <v>5</v>
      </c>
      <c r="AC39" t="s">
        <v>485</v>
      </c>
      <c r="AD39" t="s">
        <v>486</v>
      </c>
      <c r="AE39" t="s">
        <v>488</v>
      </c>
      <c r="AF39" t="s">
        <v>489</v>
      </c>
      <c r="AG39" t="s">
        <v>487</v>
      </c>
    </row>
    <row r="40" spans="1:33" x14ac:dyDescent="0.25">
      <c r="G40" s="21"/>
      <c r="Z40">
        <f>IF(G19=2,D30,(IF(G19=3,D29,(IF(G19=4,D28,D27)))))</f>
        <v>0</v>
      </c>
    </row>
    <row r="44" spans="1:33" ht="18.75" x14ac:dyDescent="0.3">
      <c r="B44" s="37"/>
      <c r="M44" s="8"/>
      <c r="N44" s="9"/>
      <c r="O44" s="9"/>
    </row>
    <row r="45" spans="1:33" ht="18.75" x14ac:dyDescent="0.3">
      <c r="B45" s="37"/>
      <c r="H45" s="6"/>
      <c r="M45" s="8"/>
      <c r="N45" s="9"/>
      <c r="O45" s="9"/>
    </row>
    <row r="46" spans="1:33" ht="18.75" x14ac:dyDescent="0.3">
      <c r="B46" s="37" t="str">
        <f>Překlady!C36</f>
        <v>A korpusz oldalának fúrása</v>
      </c>
      <c r="H46" s="55"/>
      <c r="L46" s="8"/>
      <c r="M46" s="2"/>
    </row>
    <row r="47" spans="1:33" ht="18.75" x14ac:dyDescent="0.3">
      <c r="H47" s="20"/>
      <c r="L47" s="8"/>
      <c r="M47" s="2"/>
    </row>
    <row r="48" spans="1:33" ht="23.25" customHeight="1" x14ac:dyDescent="0.3">
      <c r="A48" s="244" t="str">
        <f>Překlady!C38</f>
        <v>A furatok magassága a korpusz aljától számítva</v>
      </c>
      <c r="B48" s="150"/>
      <c r="C48" s="6"/>
      <c r="D48" s="6"/>
      <c r="F48" s="6"/>
      <c r="G48" s="6"/>
      <c r="I48" s="246"/>
      <c r="J48" s="246"/>
      <c r="K48" s="254" t="str">
        <f>Překlady!C96</f>
        <v>Előlapok méretre vágása</v>
      </c>
      <c r="L48" s="254"/>
      <c r="M48" s="254"/>
      <c r="N48" s="239" t="str">
        <f>Překlady!C58</f>
        <v>Hátsó vágás</v>
      </c>
      <c r="O48" s="240"/>
    </row>
    <row r="49" spans="1:19" ht="17.25" customHeight="1" x14ac:dyDescent="0.25">
      <c r="A49" s="244"/>
      <c r="B49" s="150"/>
      <c r="C49" s="6"/>
      <c r="D49" s="6"/>
      <c r="F49" s="6"/>
      <c r="G49" s="6"/>
      <c r="I49" s="250" t="str">
        <f>IF($G$19=5,Překlady!C26, " ")</f>
        <v xml:space="preserve"> </v>
      </c>
      <c r="J49" s="250"/>
      <c r="K49" s="251" t="str">
        <f>IF(AND($G$19=5,D27&gt;0),$G$10-(2*$G$17)&amp;" x "&amp;D27-$G$21&amp;" mm","")</f>
        <v/>
      </c>
      <c r="L49" s="251"/>
      <c r="M49" s="251"/>
      <c r="N49" s="241" t="str">
        <f>IF(AND($G$19=5,D27&gt;0),G10-(2*G13)-42&amp;" x "&amp;VLOOKUP(G27,Y6:Z9,2,0)&amp;" mm","")</f>
        <v/>
      </c>
      <c r="O49" s="242"/>
    </row>
    <row r="50" spans="1:19" ht="17.25" customHeight="1" x14ac:dyDescent="0.25">
      <c r="A50" s="244"/>
      <c r="B50" s="267" t="str">
        <f>IF(G19&gt;4,B53+D28+G15,"")</f>
        <v/>
      </c>
      <c r="C50" s="6"/>
      <c r="D50" s="6"/>
      <c r="F50" s="6"/>
      <c r="G50" s="6"/>
      <c r="I50" s="248" t="str">
        <f>IF($G$19&gt;3,Překlady!C25, " ")</f>
        <v xml:space="preserve"> </v>
      </c>
      <c r="J50" s="248"/>
      <c r="K50" s="251" t="str">
        <f>IF(AND($G$19&gt;3, D28&gt;0),$G$10-(2*$G$17)&amp;" x "&amp;D28-$G$21&amp;" mm","")</f>
        <v/>
      </c>
      <c r="L50" s="251"/>
      <c r="M50" s="251"/>
      <c r="N50" s="241" t="str">
        <f>IF(AND($G$19&gt;3,D28&gt;0),G10-(2*G13)-42&amp;" x "&amp;VLOOKUP(G28,Y6:Z9,2,0)&amp;" mm","")</f>
        <v/>
      </c>
      <c r="O50" s="242"/>
    </row>
    <row r="51" spans="1:19" ht="17.25" customHeight="1" x14ac:dyDescent="0.25">
      <c r="A51" s="244"/>
      <c r="B51" s="267"/>
      <c r="C51" s="6"/>
      <c r="D51" s="6"/>
      <c r="F51" s="6"/>
      <c r="G51" s="6"/>
      <c r="I51" s="248" t="str">
        <f>IF($G$19&gt;2,Překlady!C24, " ")</f>
        <v xml:space="preserve"> </v>
      </c>
      <c r="J51" s="248"/>
      <c r="K51" s="251" t="str">
        <f>IF(AND($G$19&gt;2,D29&gt;0),$G$10-(2*$G$17)&amp;" x "&amp;D29-$G$21&amp;" mm","")</f>
        <v/>
      </c>
      <c r="L51" s="251"/>
      <c r="M51" s="251"/>
      <c r="N51" s="241" t="str">
        <f>IF(AND($G$19&gt;2, D29&gt;0),G10-(2*G13)-42&amp;" x "&amp;VLOOKUP(G29,Y6:Z9,2,0)&amp;" mm","")</f>
        <v/>
      </c>
      <c r="O51" s="242"/>
    </row>
    <row r="52" spans="1:19" ht="17.25" customHeight="1" x14ac:dyDescent="0.25">
      <c r="A52" s="244"/>
      <c r="B52" s="142"/>
      <c r="C52" s="6"/>
      <c r="D52" s="6"/>
      <c r="F52" s="6"/>
      <c r="G52" s="6"/>
      <c r="I52" s="248" t="str">
        <f>IF($G$19&gt;1,Překlady!C23, " ")</f>
        <v xml:space="preserve"> </v>
      </c>
      <c r="J52" s="248"/>
      <c r="K52" s="251" t="str">
        <f>IF(AND($G$19&gt;1,D30&gt;0),$G$10-(2*$G$17)&amp;" x "&amp;D30-$G$21&amp;" mm","")</f>
        <v/>
      </c>
      <c r="L52" s="251"/>
      <c r="M52" s="251"/>
      <c r="N52" s="241" t="str">
        <f>IF(AND($G$19&gt;1, D30&gt;0),G10-(2*G13)-42&amp;" x "&amp;VLOOKUP(G30,Y6:Z9,2,0)&amp;" mm","")</f>
        <v/>
      </c>
      <c r="O52" s="242"/>
    </row>
    <row r="53" spans="1:19" ht="17.25" customHeight="1" x14ac:dyDescent="0.25">
      <c r="A53" s="244"/>
      <c r="B53" s="267" t="str">
        <f>IF(G19&gt;3,B56+D29+G15,"")</f>
        <v/>
      </c>
      <c r="C53" s="6"/>
      <c r="D53" s="6"/>
      <c r="F53" s="6"/>
      <c r="G53" s="6"/>
      <c r="I53" s="248" t="str">
        <f>IF($G$19&gt;0,Překlady!C22, " ")</f>
        <v xml:space="preserve"> </v>
      </c>
      <c r="J53" s="248"/>
      <c r="K53" s="251" t="str">
        <f>IF(AND($G$19&gt;0,D31&gt;0),$G$10-(2*$G$17)&amp;" x "&amp;D31-$G$21&amp;" mm","")</f>
        <v/>
      </c>
      <c r="L53" s="251"/>
      <c r="M53" s="251"/>
      <c r="N53" s="241" t="str">
        <f>IF(AND($G$19&gt;0,D31&gt;0),G10-(2*G13)-42&amp;" x "&amp;VLOOKUP(G31,Y6:Z9,2,0)&amp;" mm","")</f>
        <v/>
      </c>
      <c r="O53" s="242"/>
    </row>
    <row r="54" spans="1:19" ht="15" customHeight="1" x14ac:dyDescent="0.25">
      <c r="A54" s="244"/>
      <c r="B54" s="267"/>
      <c r="C54" s="127"/>
      <c r="D54" s="6"/>
      <c r="F54" s="6"/>
      <c r="G54" s="143"/>
    </row>
    <row r="55" spans="1:19" ht="15" customHeight="1" x14ac:dyDescent="0.25">
      <c r="A55" s="244"/>
      <c r="B55" s="142"/>
      <c r="C55" s="127"/>
      <c r="D55" s="6"/>
      <c r="F55" s="6"/>
      <c r="G55" s="143"/>
      <c r="I55" s="249" t="str">
        <f>Překlady!C60</f>
        <v>( a helyes számításhoz a fenti táblázatban található oldalfalmagasságot kell kiválasztani)</v>
      </c>
      <c r="J55" s="249"/>
      <c r="K55" s="249"/>
      <c r="L55" s="249"/>
      <c r="M55" s="249"/>
      <c r="N55" s="249"/>
    </row>
    <row r="56" spans="1:19" ht="15" customHeight="1" x14ac:dyDescent="0.25">
      <c r="A56" s="244"/>
      <c r="B56" s="277" t="str">
        <f>IF(G19&gt;2,B59+D30+G15,"")</f>
        <v/>
      </c>
      <c r="C56" s="127"/>
      <c r="D56" s="6"/>
      <c r="F56" s="6"/>
      <c r="G56" s="143"/>
      <c r="I56" s="249"/>
      <c r="J56" s="249"/>
      <c r="K56" s="249"/>
      <c r="L56" s="249"/>
      <c r="M56" s="249"/>
      <c r="N56" s="249"/>
    </row>
    <row r="57" spans="1:19" ht="15" customHeight="1" x14ac:dyDescent="0.25">
      <c r="A57" s="244"/>
      <c r="B57" s="277"/>
      <c r="C57" s="127"/>
      <c r="D57" s="6"/>
      <c r="F57" s="6"/>
      <c r="G57" s="143"/>
    </row>
    <row r="58" spans="1:19" ht="15" customHeight="1" x14ac:dyDescent="0.3">
      <c r="A58" s="244"/>
      <c r="B58" s="151"/>
      <c r="C58" s="128"/>
      <c r="D58" s="146"/>
      <c r="E58" s="89"/>
      <c r="F58" s="153"/>
      <c r="G58" s="145"/>
      <c r="I58" s="55" t="str">
        <f>Překlady!C59</f>
        <v>Alsó vágás:</v>
      </c>
    </row>
    <row r="59" spans="1:19" ht="15" customHeight="1" x14ac:dyDescent="0.25">
      <c r="A59" s="244"/>
      <c r="B59" s="278" t="str">
        <f>IF(G19&gt;1,(D31-($G$12+$G$16))+37+G15+5,"")</f>
        <v/>
      </c>
      <c r="C59" s="127"/>
      <c r="D59" s="147"/>
      <c r="F59" s="91"/>
      <c r="G59" s="143"/>
    </row>
    <row r="60" spans="1:19" ht="15" customHeight="1" x14ac:dyDescent="0.3">
      <c r="A60" s="244"/>
      <c r="B60" s="277"/>
      <c r="C60" s="127"/>
      <c r="D60" s="147"/>
      <c r="F60" s="91"/>
      <c r="G60" s="143"/>
      <c r="I60" s="20" t="str">
        <f>IF(G18&gt;0,(G10-(2*G13)-21&amp;" x "&amp;G18-20&amp;" mm"),"")</f>
        <v/>
      </c>
    </row>
    <row r="61" spans="1:19" ht="15" customHeight="1" x14ac:dyDescent="0.25">
      <c r="A61" s="244"/>
      <c r="B61" s="151"/>
      <c r="C61" s="128"/>
      <c r="D61" s="146"/>
      <c r="E61" s="89"/>
      <c r="F61" s="153"/>
      <c r="G61" s="145"/>
    </row>
    <row r="62" spans="1:19" ht="18" customHeight="1" x14ac:dyDescent="0.25">
      <c r="A62" s="244"/>
      <c r="B62" s="142" t="str">
        <f>IF(D31&gt;0,37,"")</f>
        <v/>
      </c>
      <c r="C62" s="129"/>
      <c r="D62" s="148"/>
      <c r="E62" s="155"/>
      <c r="F62" s="154"/>
      <c r="G62" s="144"/>
      <c r="H62" s="6"/>
      <c r="S62" s="2"/>
    </row>
    <row r="63" spans="1:19" ht="15" customHeight="1" x14ac:dyDescent="0.25">
      <c r="B63" s="56"/>
      <c r="C63" s="230">
        <v>37</v>
      </c>
      <c r="D63" s="147"/>
      <c r="F63" s="91"/>
      <c r="G63" s="6"/>
      <c r="H63" s="6"/>
    </row>
    <row r="64" spans="1:19" x14ac:dyDescent="0.25">
      <c r="B64" s="6"/>
      <c r="C64" s="167"/>
      <c r="D64" s="236">
        <v>165</v>
      </c>
      <c r="F64" s="91"/>
      <c r="G64" s="6"/>
    </row>
    <row r="65" spans="1:17" x14ac:dyDescent="0.25">
      <c r="C65" s="231"/>
      <c r="D65" s="5"/>
      <c r="E65" s="275">
        <v>261</v>
      </c>
      <c r="F65" s="276"/>
    </row>
    <row r="67" spans="1:17" ht="18.75" customHeight="1" x14ac:dyDescent="0.25">
      <c r="C67" s="6"/>
      <c r="D67" s="6"/>
      <c r="E67" s="6"/>
      <c r="F67" s="6"/>
      <c r="G67" s="6"/>
    </row>
    <row r="70" spans="1:17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P70" s="5"/>
      <c r="Q70" s="5"/>
    </row>
    <row r="71" spans="1:17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P71" s="5"/>
      <c r="Q71" s="5"/>
    </row>
    <row r="72" spans="1:17" ht="18.75" x14ac:dyDescent="0.3">
      <c r="A72" s="5"/>
      <c r="B72" s="37"/>
      <c r="C72" s="37" t="str">
        <f>Překlady!C61</f>
        <v>Az első fiók frontfurata</v>
      </c>
      <c r="D72" s="5"/>
      <c r="E72" s="5"/>
      <c r="F72" s="5"/>
      <c r="G72" s="5"/>
      <c r="H72" s="5"/>
      <c r="I72" s="37" t="str">
        <f>Překlady!C62</f>
        <v>A második fiók frontfurata</v>
      </c>
      <c r="J72" s="5"/>
      <c r="K72" s="5"/>
      <c r="L72" s="5"/>
      <c r="M72" s="5"/>
      <c r="N72" s="5"/>
      <c r="P72" s="5"/>
    </row>
    <row r="73" spans="1:17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P73" s="5"/>
    </row>
    <row r="74" spans="1:17" ht="20.25" customHeight="1" x14ac:dyDescent="0.25">
      <c r="A74" s="5"/>
      <c r="B74" s="5"/>
      <c r="C74" s="158"/>
      <c r="D74" s="111"/>
      <c r="E74" s="152"/>
      <c r="F74" s="152"/>
      <c r="G74" s="152"/>
      <c r="H74" s="5"/>
      <c r="I74" s="232"/>
      <c r="J74" s="111"/>
      <c r="K74" s="152"/>
      <c r="L74" s="152"/>
      <c r="M74" s="152"/>
      <c r="N74" s="152"/>
      <c r="P74" s="5"/>
    </row>
    <row r="75" spans="1:17" ht="20.25" customHeight="1" x14ac:dyDescent="0.25">
      <c r="A75" s="5"/>
      <c r="B75" s="5"/>
      <c r="C75" s="157" t="str">
        <f>IF(G31=249,32,"")</f>
        <v/>
      </c>
      <c r="D75" s="113"/>
      <c r="H75" s="5"/>
      <c r="I75" s="232"/>
      <c r="J75" s="113"/>
      <c r="K75" s="5"/>
      <c r="L75" s="5"/>
      <c r="M75" s="5"/>
      <c r="N75" s="5"/>
      <c r="P75" s="5"/>
    </row>
    <row r="76" spans="1:17" ht="20.25" customHeight="1" x14ac:dyDescent="0.35">
      <c r="A76" s="5"/>
      <c r="B76" s="43"/>
      <c r="C76" s="158"/>
      <c r="D76" s="113"/>
      <c r="G76" s="5"/>
      <c r="H76" s="5"/>
      <c r="I76" s="157" t="str">
        <f>IF(G30=249,32,"")</f>
        <v/>
      </c>
      <c r="J76" s="218"/>
      <c r="K76" s="5"/>
      <c r="L76" s="5"/>
      <c r="M76" s="5"/>
      <c r="N76" s="5"/>
      <c r="P76" s="5"/>
    </row>
    <row r="77" spans="1:17" ht="20.25" customHeight="1" x14ac:dyDescent="0.25">
      <c r="A77" s="5"/>
      <c r="B77" s="43"/>
      <c r="C77" s="157" t="str">
        <f>IF(G31=249,32,"")</f>
        <v/>
      </c>
      <c r="D77" s="113"/>
      <c r="E77" s="5"/>
      <c r="F77" s="5"/>
      <c r="G77" s="5"/>
      <c r="H77" s="5"/>
      <c r="I77" s="232"/>
      <c r="J77" s="113"/>
      <c r="K77" s="5"/>
      <c r="L77" s="5"/>
      <c r="M77" s="5"/>
      <c r="N77" s="5"/>
      <c r="P77" s="5"/>
    </row>
    <row r="78" spans="1:17" ht="20.25" customHeight="1" x14ac:dyDescent="0.25">
      <c r="A78" s="5"/>
      <c r="B78" s="44"/>
      <c r="C78" s="157" t="str">
        <f>IF(G31=249,32,"")</f>
        <v/>
      </c>
      <c r="D78" s="113"/>
      <c r="E78" s="5"/>
      <c r="F78" s="5"/>
      <c r="G78" s="5"/>
      <c r="H78" s="5"/>
      <c r="I78" s="232"/>
      <c r="J78" s="113"/>
      <c r="K78" s="5"/>
      <c r="L78" s="5"/>
      <c r="M78" s="5"/>
      <c r="N78" s="5"/>
      <c r="P78" s="5"/>
    </row>
    <row r="79" spans="1:17" ht="20.25" customHeight="1" x14ac:dyDescent="0.25">
      <c r="A79" s="5"/>
      <c r="B79" s="43"/>
      <c r="C79" s="158"/>
      <c r="D79" s="113"/>
      <c r="G79" s="5"/>
      <c r="H79" s="5"/>
      <c r="I79" s="52" t="str">
        <f>IF(G30=249,32,"")</f>
        <v/>
      </c>
      <c r="J79" s="113"/>
      <c r="K79" s="5"/>
      <c r="L79" s="5"/>
      <c r="M79" s="5"/>
      <c r="N79" s="5"/>
      <c r="P79" s="5"/>
    </row>
    <row r="80" spans="1:17" ht="20.25" customHeight="1" x14ac:dyDescent="0.25">
      <c r="A80" s="5"/>
      <c r="B80" s="45"/>
      <c r="C80" s="158"/>
      <c r="D80" s="113"/>
      <c r="E80" s="5"/>
      <c r="F80" s="5"/>
      <c r="G80" s="5"/>
      <c r="H80" s="5"/>
      <c r="I80" s="232"/>
      <c r="J80" s="113"/>
      <c r="K80" s="5"/>
      <c r="L80" s="5"/>
      <c r="M80" s="5"/>
      <c r="N80" s="5"/>
      <c r="P80" s="5"/>
    </row>
    <row r="81" spans="1:19" ht="20.25" customHeight="1" x14ac:dyDescent="0.25">
      <c r="A81" s="5"/>
      <c r="B81" s="46"/>
      <c r="C81" s="157" t="str">
        <f>IF(G31&gt;180,32,"")</f>
        <v/>
      </c>
      <c r="D81" s="113"/>
      <c r="E81" s="5"/>
      <c r="F81" s="5"/>
      <c r="G81" s="5"/>
      <c r="H81" s="5"/>
      <c r="I81" s="232"/>
      <c r="J81" s="113"/>
      <c r="K81" s="5"/>
      <c r="L81" s="5"/>
      <c r="M81" s="5"/>
      <c r="N81" s="5"/>
      <c r="P81" s="5"/>
    </row>
    <row r="82" spans="1:19" ht="20.25" customHeight="1" x14ac:dyDescent="0.25">
      <c r="A82" s="5"/>
      <c r="C82" s="159"/>
      <c r="D82" s="113"/>
      <c r="G82" s="5"/>
      <c r="H82" s="5"/>
      <c r="I82" s="157" t="str">
        <f>IF(G30&gt;180,32,"")</f>
        <v/>
      </c>
      <c r="J82" s="113"/>
      <c r="K82" s="5"/>
      <c r="L82" s="5"/>
      <c r="M82" s="5"/>
      <c r="N82" s="5"/>
      <c r="P82" s="5"/>
    </row>
    <row r="83" spans="1:19" ht="20.25" customHeight="1" x14ac:dyDescent="0.25">
      <c r="A83" s="5"/>
      <c r="B83" s="47"/>
      <c r="C83" s="158"/>
      <c r="D83" s="113"/>
      <c r="E83" s="5"/>
      <c r="F83" s="5"/>
      <c r="G83" s="5"/>
      <c r="H83" s="5"/>
      <c r="I83" s="232"/>
      <c r="J83" s="113"/>
      <c r="K83" s="5"/>
      <c r="L83" s="5"/>
      <c r="M83" s="5"/>
      <c r="N83" s="5"/>
      <c r="P83" s="49"/>
    </row>
    <row r="84" spans="1:19" ht="20.25" customHeight="1" x14ac:dyDescent="0.25">
      <c r="A84" s="5"/>
      <c r="B84" s="48"/>
      <c r="C84" s="157" t="str">
        <f>IF(G31&gt;180,64,IF(G31=121,32,""))</f>
        <v/>
      </c>
      <c r="D84" s="113"/>
      <c r="E84" s="5"/>
      <c r="F84" s="5"/>
      <c r="G84" s="5"/>
      <c r="H84" s="5"/>
      <c r="I84" s="232"/>
      <c r="J84" s="113"/>
      <c r="K84" s="5"/>
      <c r="L84" s="5"/>
      <c r="M84" s="5"/>
      <c r="N84" s="5"/>
      <c r="P84" s="49"/>
    </row>
    <row r="85" spans="1:19" ht="20.25" customHeight="1" x14ac:dyDescent="0.25">
      <c r="A85" s="5"/>
      <c r="B85" s="43"/>
      <c r="C85" s="158"/>
      <c r="D85" s="113"/>
      <c r="E85" s="5"/>
      <c r="F85" s="5"/>
      <c r="G85" s="5"/>
      <c r="H85" s="5"/>
      <c r="I85" s="157" t="str">
        <f>IF(G30=121,32,IF(G30&gt;180,64,""))</f>
        <v/>
      </c>
      <c r="J85" s="113"/>
      <c r="L85" s="5"/>
      <c r="M85" s="5"/>
      <c r="N85" s="5"/>
      <c r="P85" s="5"/>
    </row>
    <row r="86" spans="1:19" ht="20.25" customHeight="1" x14ac:dyDescent="0.25">
      <c r="A86" s="5"/>
      <c r="B86" s="47"/>
      <c r="C86" s="160"/>
      <c r="D86" s="130"/>
      <c r="E86" s="108"/>
      <c r="F86" s="109"/>
      <c r="G86" s="5"/>
      <c r="H86" s="5"/>
      <c r="I86" s="232"/>
      <c r="J86" s="113"/>
      <c r="K86" s="5"/>
      <c r="L86" s="5"/>
      <c r="M86" s="5"/>
      <c r="N86" s="5"/>
      <c r="P86" s="5"/>
      <c r="S86" s="2"/>
    </row>
    <row r="87" spans="1:19" ht="20.25" customHeight="1" x14ac:dyDescent="0.25">
      <c r="A87" s="5"/>
      <c r="B87" s="46"/>
      <c r="C87" s="157">
        <v>32</v>
      </c>
      <c r="D87" s="113"/>
      <c r="E87" s="110"/>
      <c r="F87" s="111"/>
      <c r="G87" s="5"/>
      <c r="H87" s="5"/>
      <c r="I87" s="233"/>
      <c r="J87" s="130"/>
      <c r="K87" s="108"/>
      <c r="L87" s="109"/>
      <c r="M87" s="5"/>
      <c r="N87" s="5"/>
      <c r="P87" s="5"/>
      <c r="S87" s="2"/>
    </row>
    <row r="88" spans="1:19" ht="20.25" customHeight="1" x14ac:dyDescent="0.25">
      <c r="A88" s="5"/>
      <c r="B88" s="46"/>
      <c r="C88" s="158"/>
      <c r="D88" s="113"/>
      <c r="E88" s="106"/>
      <c r="F88" s="5"/>
      <c r="G88" s="5"/>
      <c r="H88" s="5"/>
      <c r="I88" s="157">
        <v>32</v>
      </c>
      <c r="J88" s="113"/>
      <c r="K88" s="110"/>
      <c r="L88" s="111"/>
      <c r="M88" s="5"/>
      <c r="N88" s="5"/>
      <c r="P88" s="5"/>
      <c r="S88" s="2"/>
    </row>
    <row r="89" spans="1:19" ht="20.25" customHeight="1" x14ac:dyDescent="0.25">
      <c r="A89" s="5"/>
      <c r="B89" s="49"/>
      <c r="C89" s="160"/>
      <c r="D89" s="130"/>
      <c r="E89" s="108"/>
      <c r="F89" s="109"/>
      <c r="G89" s="5"/>
      <c r="H89" s="5"/>
      <c r="I89" s="232"/>
      <c r="J89" s="113"/>
      <c r="K89" s="106"/>
      <c r="L89" s="5"/>
      <c r="M89" s="5"/>
      <c r="N89" s="5"/>
      <c r="P89" s="5"/>
      <c r="S89" s="2"/>
    </row>
    <row r="90" spans="1:19" ht="20.25" customHeight="1" x14ac:dyDescent="0.25">
      <c r="A90" s="5"/>
      <c r="B90" s="115"/>
      <c r="C90" s="265">
        <f>61.5+G12-G16</f>
        <v>61.5</v>
      </c>
      <c r="D90" s="113"/>
      <c r="E90" s="110"/>
      <c r="F90" s="111"/>
      <c r="G90" s="5"/>
      <c r="H90" s="5"/>
      <c r="I90" s="233"/>
      <c r="J90" s="130"/>
      <c r="K90" s="108"/>
      <c r="L90" s="109"/>
      <c r="M90" s="5"/>
      <c r="N90" s="5"/>
      <c r="P90" s="5"/>
    </row>
    <row r="91" spans="1:19" ht="27" customHeight="1" x14ac:dyDescent="0.25">
      <c r="A91" s="5"/>
      <c r="B91" s="115"/>
      <c r="C91" s="266"/>
      <c r="D91" s="113"/>
      <c r="E91" s="106"/>
      <c r="F91" s="5"/>
      <c r="H91" s="5"/>
      <c r="I91" s="238">
        <f>61.5+5</f>
        <v>66.5</v>
      </c>
      <c r="J91" s="113"/>
      <c r="K91" s="110"/>
      <c r="L91" s="111"/>
      <c r="M91" s="5"/>
      <c r="N91" s="5"/>
      <c r="P91" s="5"/>
    </row>
    <row r="92" spans="1:19" ht="20.25" customHeight="1" x14ac:dyDescent="0.25">
      <c r="A92" s="5"/>
      <c r="C92" s="159"/>
      <c r="D92" s="113"/>
      <c r="E92" s="106"/>
      <c r="F92" s="5"/>
      <c r="H92" s="5"/>
      <c r="I92" s="234"/>
      <c r="J92" s="113"/>
      <c r="K92" s="106"/>
      <c r="L92" s="5"/>
      <c r="M92" s="5"/>
      <c r="N92" s="5"/>
      <c r="P92" s="5"/>
    </row>
    <row r="93" spans="1:19" ht="20.25" customHeight="1" x14ac:dyDescent="0.25">
      <c r="A93" s="5"/>
      <c r="B93" s="5"/>
      <c r="C93" s="5"/>
      <c r="D93" s="109"/>
      <c r="E93" s="131"/>
      <c r="F93" s="132"/>
      <c r="G93" s="132"/>
      <c r="H93" s="5"/>
      <c r="I93" s="232"/>
      <c r="J93" s="109"/>
      <c r="K93" s="131"/>
      <c r="L93" s="132"/>
      <c r="M93" s="132"/>
      <c r="N93" s="132"/>
      <c r="P93" s="5"/>
    </row>
    <row r="94" spans="1:19" ht="20.25" customHeight="1" x14ac:dyDescent="0.25">
      <c r="A94" s="5"/>
      <c r="B94" s="5"/>
      <c r="C94" s="5"/>
      <c r="D94" s="283">
        <f>14.5+G13-G17</f>
        <v>14.5</v>
      </c>
      <c r="E94" s="284"/>
      <c r="F94" s="5"/>
      <c r="G94" s="5"/>
      <c r="H94" s="5"/>
      <c r="I94" s="5"/>
      <c r="J94" s="283">
        <f>14.5+G13-G17</f>
        <v>14.5</v>
      </c>
      <c r="K94" s="284"/>
      <c r="L94" s="5"/>
      <c r="M94" s="5"/>
      <c r="N94" s="5"/>
      <c r="P94" s="5"/>
    </row>
    <row r="95" spans="1:19" ht="20.25" customHeight="1" x14ac:dyDescent="0.25">
      <c r="A95" s="5"/>
      <c r="B95" s="5"/>
      <c r="C95" s="5"/>
      <c r="D95" s="156"/>
      <c r="E95" s="156"/>
      <c r="F95" s="5"/>
      <c r="G95" s="5"/>
      <c r="H95" s="5"/>
      <c r="I95" s="5"/>
      <c r="J95" s="161"/>
      <c r="K95" s="68"/>
      <c r="L95" s="5"/>
      <c r="M95" s="5"/>
      <c r="N95" s="5"/>
      <c r="P95" s="5"/>
    </row>
    <row r="96" spans="1:19" ht="20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P96" s="5"/>
    </row>
    <row r="97" spans="1:20" x14ac:dyDescent="0.25">
      <c r="A97" s="5"/>
      <c r="B97" s="5"/>
      <c r="C97" s="5"/>
      <c r="E97" s="5"/>
      <c r="F97" s="5"/>
      <c r="G97" s="5"/>
      <c r="H97" s="5"/>
      <c r="I97" s="5"/>
      <c r="K97" s="5"/>
      <c r="L97" s="5"/>
      <c r="M97" s="5"/>
      <c r="N97" s="5"/>
      <c r="P97" s="5"/>
    </row>
    <row r="98" spans="1:20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P98" s="5"/>
    </row>
    <row r="99" spans="1:20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P99" s="5"/>
    </row>
    <row r="100" spans="1:20" ht="18.75" x14ac:dyDescent="0.3">
      <c r="A100" s="5"/>
      <c r="B100" s="37"/>
      <c r="C100" s="37" t="str">
        <f>IF(AND(G19&gt;2,G29&gt;0),Překlady!C63,"")</f>
        <v/>
      </c>
      <c r="D100" s="5"/>
      <c r="E100" s="5"/>
      <c r="F100" s="5"/>
      <c r="G100" s="5"/>
      <c r="H100" s="5"/>
      <c r="I100" s="37" t="str">
        <f>IF(AND(G19&gt;3,G30&gt;0),Překlady!C64,"")</f>
        <v/>
      </c>
      <c r="J100" s="5"/>
      <c r="K100" s="5"/>
      <c r="L100" s="5"/>
      <c r="M100" s="5"/>
      <c r="N100" s="5"/>
      <c r="P100" s="5"/>
    </row>
    <row r="101" spans="1:20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P101" s="5"/>
    </row>
    <row r="102" spans="1:20" ht="20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P102" s="5"/>
    </row>
    <row r="103" spans="1:20" ht="20.25" customHeight="1" x14ac:dyDescent="0.25">
      <c r="A103" s="5"/>
      <c r="B103" s="43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P103" s="5"/>
    </row>
    <row r="104" spans="1:20" ht="20.25" customHeight="1" x14ac:dyDescent="0.25">
      <c r="A104" s="5"/>
      <c r="B104" s="43"/>
      <c r="C104" s="162" t="str">
        <f>IF($T$107=249,32,"")</f>
        <v/>
      </c>
      <c r="D104" s="5"/>
      <c r="E104" s="5"/>
      <c r="F104" s="5"/>
      <c r="G104" s="5"/>
      <c r="H104" s="5"/>
      <c r="I104" s="162" t="str">
        <f>IF($T$107=249,32,"")</f>
        <v/>
      </c>
      <c r="J104" s="5"/>
      <c r="K104" s="5"/>
      <c r="L104" s="5"/>
      <c r="M104" s="5"/>
      <c r="N104" s="5"/>
      <c r="P104" s="5"/>
    </row>
    <row r="105" spans="1:20" ht="20.25" customHeight="1" x14ac:dyDescent="0.25">
      <c r="A105" s="5"/>
      <c r="B105" s="44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P105" s="5"/>
    </row>
    <row r="106" spans="1:20" ht="20.25" customHeight="1" x14ac:dyDescent="0.25">
      <c r="A106" s="5"/>
      <c r="B106" s="43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P106" s="5"/>
      <c r="T106" t="s">
        <v>490</v>
      </c>
    </row>
    <row r="107" spans="1:20" ht="20.25" customHeight="1" x14ac:dyDescent="0.25">
      <c r="A107" s="5"/>
      <c r="B107" s="45"/>
      <c r="C107" s="162" t="str">
        <f>IF($T$107=249,32,"")</f>
        <v/>
      </c>
      <c r="D107" s="5"/>
      <c r="E107" s="5"/>
      <c r="F107" s="5"/>
      <c r="G107" s="5"/>
      <c r="H107" s="5"/>
      <c r="I107" s="162" t="str">
        <f>IF($T$107=249,32,"")</f>
        <v/>
      </c>
      <c r="J107" s="5"/>
      <c r="K107" s="5"/>
      <c r="L107" s="5"/>
      <c r="M107" s="5"/>
      <c r="N107" s="5"/>
      <c r="P107" s="5"/>
      <c r="T107">
        <f>IF(G19&gt;2,G29,0)</f>
        <v>0</v>
      </c>
    </row>
    <row r="108" spans="1:20" ht="20.25" customHeight="1" x14ac:dyDescent="0.25">
      <c r="A108" s="5"/>
      <c r="B108" s="46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P108" s="5"/>
    </row>
    <row r="109" spans="1:20" ht="20.25" customHeight="1" x14ac:dyDescent="0.25">
      <c r="A109" s="5"/>
      <c r="B109" s="4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P109" s="5"/>
    </row>
    <row r="110" spans="1:20" ht="20.25" customHeight="1" x14ac:dyDescent="0.25">
      <c r="A110" s="5"/>
      <c r="B110" s="48"/>
      <c r="C110" s="162" t="str">
        <f>IF($T$107&gt;180,32,"")</f>
        <v/>
      </c>
      <c r="D110" s="5"/>
      <c r="E110" s="5"/>
      <c r="F110" s="5"/>
      <c r="G110" s="5"/>
      <c r="H110" s="5"/>
      <c r="I110" s="162" t="str">
        <f>IF($T$107&gt;180,32,"")</f>
        <v/>
      </c>
      <c r="J110" s="5"/>
      <c r="K110" s="5"/>
      <c r="L110" s="5"/>
      <c r="M110" s="5"/>
      <c r="N110" s="5"/>
      <c r="P110" s="49"/>
      <c r="T110" t="s">
        <v>491</v>
      </c>
    </row>
    <row r="111" spans="1:20" ht="20.25" customHeight="1" x14ac:dyDescent="0.25">
      <c r="A111" s="5"/>
      <c r="B111" s="44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P111" s="49"/>
      <c r="T111">
        <f>IF(G19&gt;3,G28,0)</f>
        <v>0</v>
      </c>
    </row>
    <row r="112" spans="1:20" ht="20.25" customHeight="1" x14ac:dyDescent="0.25">
      <c r="A112" s="5"/>
      <c r="B112" s="43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P112" s="49"/>
    </row>
    <row r="113" spans="1:17" ht="20.25" customHeight="1" x14ac:dyDescent="0.25">
      <c r="A113" s="5"/>
      <c r="B113" s="43"/>
      <c r="C113" s="162" t="str">
        <f>IF($T$107=121,32,IF($T$107&gt;180,64,""))</f>
        <v/>
      </c>
      <c r="D113" s="5"/>
      <c r="E113" s="5"/>
      <c r="F113" s="5"/>
      <c r="G113" s="5"/>
      <c r="H113" s="5"/>
      <c r="I113" s="162" t="str">
        <f>IF($T$111=121,32,IF($T$111&gt;180,64,""))</f>
        <v/>
      </c>
      <c r="J113" s="5"/>
      <c r="K113" s="5"/>
      <c r="L113" s="5"/>
      <c r="M113" s="5"/>
      <c r="N113" s="5"/>
      <c r="P113" s="49"/>
    </row>
    <row r="114" spans="1:17" ht="20.25" customHeight="1" x14ac:dyDescent="0.25">
      <c r="A114" s="5"/>
      <c r="B114" s="43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P114" s="5"/>
    </row>
    <row r="115" spans="1:17" ht="20.25" customHeight="1" x14ac:dyDescent="0.25">
      <c r="A115" s="5"/>
      <c r="B115" s="43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P115" s="5"/>
    </row>
    <row r="116" spans="1:17" ht="20.25" customHeight="1" x14ac:dyDescent="0.25">
      <c r="A116" s="5"/>
      <c r="B116" s="46"/>
      <c r="C116" s="162" t="str">
        <f>IF(G19&gt;2,32,"")</f>
        <v/>
      </c>
      <c r="D116" s="5"/>
      <c r="E116" s="5"/>
      <c r="F116" s="5"/>
      <c r="G116" s="5"/>
      <c r="H116" s="5"/>
      <c r="I116" s="162" t="str">
        <f>IF($G$19&gt;3,32,"")</f>
        <v/>
      </c>
      <c r="J116" s="5"/>
      <c r="K116" s="5"/>
      <c r="L116" s="5"/>
      <c r="M116" s="5"/>
      <c r="N116" s="5"/>
      <c r="P116" s="5"/>
    </row>
    <row r="117" spans="1:17" ht="20.25" customHeight="1" x14ac:dyDescent="0.25">
      <c r="A117" s="5"/>
      <c r="B117" s="46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P117" s="5"/>
    </row>
    <row r="118" spans="1:17" ht="20.25" customHeight="1" x14ac:dyDescent="0.25">
      <c r="A118" s="5"/>
      <c r="B118" s="4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P118" s="5"/>
    </row>
    <row r="119" spans="1:17" ht="20.25" customHeight="1" x14ac:dyDescent="0.25">
      <c r="A119" s="5"/>
      <c r="B119" s="46"/>
      <c r="C119" s="273" t="str">
        <f>IF(G19&gt;2,61.5+5,"")</f>
        <v/>
      </c>
      <c r="D119" s="5"/>
      <c r="E119" s="5"/>
      <c r="F119" s="5"/>
      <c r="G119" s="5"/>
      <c r="H119" s="5"/>
      <c r="I119" s="273" t="str">
        <f>IF($G$19&gt;3,61.5+5,"")</f>
        <v/>
      </c>
      <c r="J119" s="5"/>
      <c r="K119" s="5"/>
      <c r="L119" s="5"/>
      <c r="M119" s="5"/>
      <c r="N119" s="5"/>
      <c r="P119" s="5"/>
    </row>
    <row r="120" spans="1:17" ht="20.25" customHeight="1" x14ac:dyDescent="0.25">
      <c r="A120" s="5"/>
      <c r="B120" s="46"/>
      <c r="C120" s="273"/>
      <c r="D120" s="5"/>
      <c r="E120" s="5"/>
      <c r="F120" s="5"/>
      <c r="G120" s="5"/>
      <c r="H120" s="5"/>
      <c r="I120" s="273"/>
      <c r="J120" s="5"/>
      <c r="K120" s="5"/>
      <c r="L120" s="5"/>
      <c r="M120" s="5"/>
      <c r="N120" s="5"/>
      <c r="P120" s="5"/>
    </row>
    <row r="121" spans="1:17" ht="20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P121" s="5"/>
    </row>
    <row r="122" spans="1:17" ht="20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P122" s="5"/>
    </row>
    <row r="123" spans="1:17" ht="20.25" customHeight="1" x14ac:dyDescent="0.25">
      <c r="A123" s="5"/>
      <c r="B123" s="5"/>
      <c r="C123" s="5"/>
      <c r="D123" s="5" t="str">
        <f>IF(AND(G19&gt;2,G30&gt;0),14.5+G13-G17,"")</f>
        <v/>
      </c>
      <c r="E123" s="5"/>
      <c r="F123" s="5"/>
      <c r="G123" s="5"/>
      <c r="H123" s="5"/>
      <c r="I123" s="5"/>
      <c r="J123" s="5" t="str">
        <f>IF(AND(G19&gt;3,G30&gt;0),14.5+G13-G17,"")</f>
        <v/>
      </c>
      <c r="K123" s="5"/>
      <c r="L123" s="5"/>
      <c r="M123" s="5"/>
      <c r="N123" s="5"/>
      <c r="P123" s="5"/>
    </row>
    <row r="124" spans="1:17" ht="21" customHeight="1" x14ac:dyDescent="0.25">
      <c r="A124" s="5"/>
      <c r="B124" s="49"/>
      <c r="C124" s="5"/>
      <c r="D124" s="53"/>
      <c r="E124" s="5"/>
      <c r="F124" s="5"/>
      <c r="G124" s="5"/>
      <c r="H124" s="5"/>
      <c r="I124" s="5"/>
      <c r="J124" s="53"/>
      <c r="K124" s="5"/>
      <c r="L124" s="5"/>
      <c r="M124" s="5"/>
      <c r="N124" s="5"/>
      <c r="P124" s="5"/>
    </row>
    <row r="125" spans="1:17" x14ac:dyDescent="0.25">
      <c r="A125" s="5"/>
      <c r="B125" s="5"/>
      <c r="C125" s="5"/>
      <c r="D125" s="53"/>
      <c r="E125" s="5"/>
      <c r="F125" s="5"/>
      <c r="G125" s="5"/>
      <c r="H125" s="5"/>
      <c r="I125" s="5"/>
      <c r="J125" s="53"/>
      <c r="K125" s="5"/>
      <c r="L125" s="5"/>
      <c r="M125" s="5"/>
      <c r="N125" s="5"/>
      <c r="P125" s="5"/>
    </row>
    <row r="126" spans="1:17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7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7" ht="18.75" x14ac:dyDescent="0.3">
      <c r="A128" s="5"/>
      <c r="B128" s="37"/>
      <c r="C128" s="37" t="str">
        <f>IF(T138&gt;0,Překlady!C65,"")</f>
        <v/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20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20" ht="20.25" customHeight="1" x14ac:dyDescent="0.25">
      <c r="A130" s="5"/>
      <c r="B130" s="49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20" ht="20.25" customHeight="1" x14ac:dyDescent="0.25">
      <c r="A131" s="5"/>
      <c r="B131" s="49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20" ht="20.25" customHeight="1" x14ac:dyDescent="0.25">
      <c r="A132" s="5"/>
      <c r="B132" s="46"/>
      <c r="C132" s="162" t="str">
        <f>IF($T$107=249,32,"")</f>
        <v/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20" ht="20.25" customHeight="1" x14ac:dyDescent="0.25">
      <c r="A133" s="5"/>
      <c r="B133" s="46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20" ht="20.25" customHeight="1" x14ac:dyDescent="0.25">
      <c r="A134" s="5"/>
      <c r="B134" s="49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20" ht="20.25" customHeight="1" x14ac:dyDescent="0.25">
      <c r="A135" s="5"/>
      <c r="B135" s="51"/>
      <c r="C135" s="162" t="str">
        <f>IF($T$107=249,32,"")</f>
        <v/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20" ht="20.25" customHeight="1" x14ac:dyDescent="0.25">
      <c r="A136" s="5"/>
      <c r="B136" s="49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20" ht="20.25" customHeight="1" x14ac:dyDescent="0.25">
      <c r="A137" s="5"/>
      <c r="B137" s="49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T137" t="s">
        <v>492</v>
      </c>
    </row>
    <row r="138" spans="1:20" ht="20.25" customHeight="1" x14ac:dyDescent="0.25">
      <c r="A138" s="5"/>
      <c r="B138" s="49"/>
      <c r="C138" s="162" t="str">
        <f>IF($T$107&gt;180,32,"")</f>
        <v/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T138">
        <f>IF(G19=5,G27,0)</f>
        <v>0</v>
      </c>
    </row>
    <row r="139" spans="1:20" ht="20.25" customHeight="1" x14ac:dyDescent="0.25">
      <c r="A139" s="5"/>
      <c r="B139" s="49"/>
      <c r="C139" s="5"/>
      <c r="D139" s="5"/>
      <c r="E139" s="5"/>
      <c r="F139" s="5"/>
      <c r="G139" s="5"/>
      <c r="H139" s="5"/>
      <c r="I139" s="49"/>
      <c r="J139" s="5"/>
      <c r="K139" s="5"/>
      <c r="L139" s="5"/>
      <c r="M139" s="5"/>
      <c r="N139" s="5"/>
      <c r="O139" s="5"/>
      <c r="P139" s="5"/>
      <c r="Q139" s="5"/>
    </row>
    <row r="140" spans="1:20" ht="20.25" customHeight="1" x14ac:dyDescent="0.25">
      <c r="A140" s="5"/>
      <c r="B140" s="49"/>
      <c r="C140" s="5"/>
      <c r="D140" s="5"/>
      <c r="E140" s="5"/>
      <c r="F140" s="5"/>
      <c r="G140" s="5"/>
      <c r="H140" s="5"/>
      <c r="I140" s="49"/>
      <c r="J140" s="5"/>
      <c r="K140" s="5"/>
      <c r="L140" s="5"/>
      <c r="M140" s="5"/>
      <c r="N140" s="5"/>
      <c r="O140" s="5"/>
      <c r="P140" s="5"/>
      <c r="Q140" s="5"/>
    </row>
    <row r="141" spans="1:20" ht="20.25" customHeight="1" x14ac:dyDescent="0.25">
      <c r="A141" s="5"/>
      <c r="B141" s="46"/>
      <c r="C141" s="162" t="str">
        <f>IF($T$138=121,32,IF($T$138&gt;180,64,""))</f>
        <v/>
      </c>
      <c r="D141" s="5"/>
      <c r="E141" s="5"/>
      <c r="F141" s="5"/>
      <c r="G141" s="5"/>
      <c r="H141" s="5"/>
      <c r="I141" s="46"/>
      <c r="J141" s="5"/>
      <c r="K141" s="5"/>
      <c r="L141" s="5"/>
      <c r="M141" s="5"/>
      <c r="N141" s="5"/>
      <c r="O141" s="5"/>
      <c r="P141" s="5"/>
      <c r="Q141" s="5"/>
    </row>
    <row r="142" spans="1:20" ht="20.25" customHeight="1" x14ac:dyDescent="0.25">
      <c r="A142" s="5"/>
      <c r="B142" s="46"/>
      <c r="C142" s="5"/>
      <c r="D142" s="5"/>
      <c r="E142" s="5"/>
      <c r="F142" s="5"/>
      <c r="G142" s="5"/>
      <c r="H142" s="5"/>
      <c r="I142" s="46"/>
      <c r="J142" s="5"/>
      <c r="K142" s="5"/>
      <c r="L142" s="5"/>
      <c r="M142" s="5"/>
      <c r="N142" s="5"/>
      <c r="O142" s="5"/>
      <c r="P142" s="5"/>
      <c r="Q142" s="5"/>
    </row>
    <row r="143" spans="1:20" ht="20.25" customHeight="1" x14ac:dyDescent="0.25">
      <c r="A143" s="5"/>
      <c r="B143" s="46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20" ht="20.25" customHeight="1" x14ac:dyDescent="0.25">
      <c r="A144" s="5"/>
      <c r="B144" s="46"/>
      <c r="C144" s="162" t="str">
        <f>IF(T138&gt;0,32,"")</f>
        <v/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20.25" customHeight="1" x14ac:dyDescent="0.25">
      <c r="A145" s="5"/>
      <c r="B145" s="49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20.25" customHeight="1" x14ac:dyDescent="0.25">
      <c r="A146" s="5"/>
      <c r="B146" s="11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20.25" customHeight="1" x14ac:dyDescent="0.25">
      <c r="A147" s="5"/>
      <c r="B147" s="115"/>
      <c r="C147" s="273" t="str">
        <f>IF(T138&gt;0,61.5+5,"")</f>
        <v/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20.25" customHeight="1" x14ac:dyDescent="0.25">
      <c r="A148" s="5"/>
      <c r="B148" s="116"/>
      <c r="C148" s="273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20.25" customHeight="1" x14ac:dyDescent="0.25">
      <c r="A149" s="5"/>
      <c r="B149" s="116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20.25" customHeight="1" x14ac:dyDescent="0.25">
      <c r="A150" s="5"/>
      <c r="B150" s="49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20.25" customHeight="1" x14ac:dyDescent="0.25">
      <c r="A151" s="5"/>
      <c r="B151" s="49"/>
      <c r="C151" s="5"/>
      <c r="D151" s="5" t="str">
        <f>IF(T138&gt;0,14.5+G13-G17,"")</f>
        <v/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20.25" customHeight="1" x14ac:dyDescent="0.25">
      <c r="A152" s="5"/>
      <c r="B152" s="49"/>
      <c r="C152" s="5"/>
      <c r="D152" s="53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20.25" customHeight="1" x14ac:dyDescent="0.25">
      <c r="A153" s="5"/>
      <c r="B153" s="5"/>
      <c r="C153" s="5"/>
      <c r="D153" s="53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x14ac:dyDescent="0.25">
      <c r="A154" s="5"/>
      <c r="B154" s="5"/>
      <c r="C154" s="5"/>
      <c r="D154" s="5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</sheetData>
  <sheetProtection algorithmName="SHA-512" hashValue="n6PDORtylgl2XfcTKEOUBYbpnELruAD/oT4ott7ENREtpy0vqqbtF9EAhgkQ/OzoMJcPY98yYY7N+7Q5Hc0qpQ==" saltValue="UK67LusHm5j+UGQJM53Ikg==" spinCount="100000" sheet="1" selectLockedCells="1"/>
  <mergeCells count="72">
    <mergeCell ref="C147:C148"/>
    <mergeCell ref="B37:D38"/>
    <mergeCell ref="E65:F65"/>
    <mergeCell ref="I31:J31"/>
    <mergeCell ref="I50:J50"/>
    <mergeCell ref="B56:B57"/>
    <mergeCell ref="B59:B60"/>
    <mergeCell ref="E27:F31"/>
    <mergeCell ref="C119:C120"/>
    <mergeCell ref="I30:J30"/>
    <mergeCell ref="B29:C29"/>
    <mergeCell ref="I119:I120"/>
    <mergeCell ref="I52:J52"/>
    <mergeCell ref="I53:J53"/>
    <mergeCell ref="J94:K94"/>
    <mergeCell ref="D94:E94"/>
    <mergeCell ref="B15:F15"/>
    <mergeCell ref="G25:G26"/>
    <mergeCell ref="B16:F16"/>
    <mergeCell ref="B17:F17"/>
    <mergeCell ref="B18:F18"/>
    <mergeCell ref="B19:F19"/>
    <mergeCell ref="B20:F20"/>
    <mergeCell ref="B21:F21"/>
    <mergeCell ref="B22:F22"/>
    <mergeCell ref="D25:D26"/>
    <mergeCell ref="B25:C26"/>
    <mergeCell ref="E25:F26"/>
    <mergeCell ref="C90:C91"/>
    <mergeCell ref="B50:B51"/>
    <mergeCell ref="B53:B54"/>
    <mergeCell ref="B30:C30"/>
    <mergeCell ref="B27:C27"/>
    <mergeCell ref="B28:C28"/>
    <mergeCell ref="P2:Q3"/>
    <mergeCell ref="K25:P26"/>
    <mergeCell ref="K27:P27"/>
    <mergeCell ref="K28:P28"/>
    <mergeCell ref="K29:P29"/>
    <mergeCell ref="E2:M3"/>
    <mergeCell ref="I29:J29"/>
    <mergeCell ref="I25:J26"/>
    <mergeCell ref="I27:J27"/>
    <mergeCell ref="I28:J28"/>
    <mergeCell ref="B9:F9"/>
    <mergeCell ref="B10:F10"/>
    <mergeCell ref="B12:F12"/>
    <mergeCell ref="B13:F13"/>
    <mergeCell ref="B14:F14"/>
    <mergeCell ref="B11:G11"/>
    <mergeCell ref="A25:A31"/>
    <mergeCell ref="A48:A62"/>
    <mergeCell ref="K30:P30"/>
    <mergeCell ref="K31:P31"/>
    <mergeCell ref="I48:J48"/>
    <mergeCell ref="B31:C31"/>
    <mergeCell ref="I51:J51"/>
    <mergeCell ref="I55:N56"/>
    <mergeCell ref="I49:J49"/>
    <mergeCell ref="K53:M53"/>
    <mergeCell ref="H25:H26"/>
    <mergeCell ref="K48:M48"/>
    <mergeCell ref="K49:M49"/>
    <mergeCell ref="K50:M50"/>
    <mergeCell ref="K51:M51"/>
    <mergeCell ref="K52:M52"/>
    <mergeCell ref="N48:O48"/>
    <mergeCell ref="N50:O50"/>
    <mergeCell ref="N51:O51"/>
    <mergeCell ref="N52:O52"/>
    <mergeCell ref="N53:O53"/>
    <mergeCell ref="N49:O49"/>
  </mergeCells>
  <phoneticPr fontId="2" type="noConversion"/>
  <conditionalFormatting sqref="B21">
    <cfRule type="expression" dxfId="194" priority="114">
      <formula>B21=0</formula>
    </cfRule>
  </conditionalFormatting>
  <conditionalFormatting sqref="B49:G49">
    <cfRule type="expression" dxfId="193" priority="19">
      <formula>$G$19=5</formula>
    </cfRule>
  </conditionalFormatting>
  <conditionalFormatting sqref="B52:G52">
    <cfRule type="expression" dxfId="192" priority="18">
      <formula>$G$19&gt;3</formula>
    </cfRule>
  </conditionalFormatting>
  <conditionalFormatting sqref="B55:G55">
    <cfRule type="expression" dxfId="191" priority="17">
      <formula>$G$19&gt;2</formula>
    </cfRule>
  </conditionalFormatting>
  <conditionalFormatting sqref="C48:C53 J102:J122">
    <cfRule type="expression" dxfId="190" priority="11">
      <formula>$G$19&gt;3</formula>
    </cfRule>
  </conditionalFormatting>
  <conditionalFormatting sqref="C49:D51 F49:F51 E148:E151">
    <cfRule type="expression" dxfId="189" priority="16">
      <formula>$G$19=5</formula>
    </cfRule>
  </conditionalFormatting>
  <conditionalFormatting sqref="C52:D54 F52:F54 K120:K123">
    <cfRule type="expression" dxfId="188" priority="15">
      <formula>$G$19&gt;3</formula>
    </cfRule>
  </conditionalFormatting>
  <conditionalFormatting sqref="C55:D57 F55:F57 E120:E123">
    <cfRule type="expression" dxfId="187" priority="14">
      <formula>$G$19&gt;2</formula>
    </cfRule>
  </conditionalFormatting>
  <conditionalFormatting sqref="C77:D77">
    <cfRule type="expression" dxfId="186" priority="320">
      <formula>$G$31=249</formula>
    </cfRule>
  </conditionalFormatting>
  <conditionalFormatting sqref="C80:D80">
    <cfRule type="expression" dxfId="185" priority="322">
      <formula>$G$31&gt;180</formula>
    </cfRule>
  </conditionalFormatting>
  <conditionalFormatting sqref="C83:D83">
    <cfRule type="expression" dxfId="184" priority="323">
      <formula>$G$31&gt;100</formula>
    </cfRule>
  </conditionalFormatting>
  <conditionalFormatting sqref="C103:D103 C106:D106 I106:J106">
    <cfRule type="expression" dxfId="183" priority="66">
      <formula>$T$107=249</formula>
    </cfRule>
  </conditionalFormatting>
  <conditionalFormatting sqref="C109:D109">
    <cfRule type="expression" dxfId="182" priority="70">
      <formula>$T$107&gt;180</formula>
    </cfRule>
  </conditionalFormatting>
  <conditionalFormatting sqref="C112:D112">
    <cfRule type="expression" dxfId="181" priority="74">
      <formula>$T$107&gt;100</formula>
    </cfRule>
  </conditionalFormatting>
  <conditionalFormatting sqref="C115:D115 C118:D118">
    <cfRule type="expression" dxfId="180" priority="50">
      <formula>$G$19&gt;2</formula>
    </cfRule>
  </conditionalFormatting>
  <conditionalFormatting sqref="C131:D131 C134:D134">
    <cfRule type="expression" dxfId="179" priority="27">
      <formula>$T$138=249</formula>
    </cfRule>
  </conditionalFormatting>
  <conditionalFormatting sqref="C137:D137">
    <cfRule type="expression" dxfId="178" priority="31">
      <formula>$T$138&gt;180</formula>
    </cfRule>
  </conditionalFormatting>
  <conditionalFormatting sqref="C140:D140">
    <cfRule type="expression" dxfId="177" priority="35">
      <formula>$T$138&gt;100</formula>
    </cfRule>
  </conditionalFormatting>
  <conditionalFormatting sqref="C143:D143 C146:D146">
    <cfRule type="expression" dxfId="176" priority="23">
      <formula>$G$19=5</formula>
    </cfRule>
  </conditionalFormatting>
  <conditionalFormatting sqref="C48:G48">
    <cfRule type="expression" dxfId="175" priority="9">
      <formula>$G$19&gt;3</formula>
    </cfRule>
  </conditionalFormatting>
  <conditionalFormatting sqref="C54:G54">
    <cfRule type="expression" dxfId="174" priority="12">
      <formula>$G$19&lt;4</formula>
    </cfRule>
  </conditionalFormatting>
  <conditionalFormatting sqref="D102:D122">
    <cfRule type="expression" dxfId="169" priority="52">
      <formula>$G$19&gt;2</formula>
    </cfRule>
  </conditionalFormatting>
  <conditionalFormatting sqref="D130:D150">
    <cfRule type="expression" dxfId="168" priority="25">
      <formula>$G$19=5</formula>
    </cfRule>
  </conditionalFormatting>
  <conditionalFormatting sqref="D102:G102">
    <cfRule type="expression" dxfId="167" priority="49">
      <formula>$G$19&gt;2</formula>
    </cfRule>
  </conditionalFormatting>
  <conditionalFormatting sqref="D122:G122">
    <cfRule type="expression" dxfId="166" priority="51">
      <formula>$G$19&gt;2</formula>
    </cfRule>
  </conditionalFormatting>
  <conditionalFormatting sqref="D130:G130">
    <cfRule type="expression" dxfId="165" priority="22">
      <formula>$G$19=5</formula>
    </cfRule>
  </conditionalFormatting>
  <conditionalFormatting sqref="D150:G150">
    <cfRule type="expression" dxfId="164" priority="24">
      <formula>$G$19=5</formula>
    </cfRule>
  </conditionalFormatting>
  <conditionalFormatting sqref="E76 E79">
    <cfRule type="expression" dxfId="163" priority="326">
      <formula>$G$31=249</formula>
    </cfRule>
  </conditionalFormatting>
  <conditionalFormatting sqref="E77">
    <cfRule type="expression" dxfId="162" priority="324">
      <formula>$G$31=249</formula>
    </cfRule>
  </conditionalFormatting>
  <conditionalFormatting sqref="E80">
    <cfRule type="expression" dxfId="161" priority="328">
      <formula>$G$31&gt;180</formula>
    </cfRule>
  </conditionalFormatting>
  <conditionalFormatting sqref="E82">
    <cfRule type="expression" dxfId="160" priority="329">
      <formula>G31&gt;180</formula>
    </cfRule>
  </conditionalFormatting>
  <conditionalFormatting sqref="E83">
    <cfRule type="expression" dxfId="159" priority="330">
      <formula>$G$31&gt;100</formula>
    </cfRule>
  </conditionalFormatting>
  <conditionalFormatting sqref="E85">
    <cfRule type="expression" dxfId="158" priority="331">
      <formula>$G$31&gt;100</formula>
    </cfRule>
  </conditionalFormatting>
  <conditionalFormatting sqref="E103 E106 K106">
    <cfRule type="expression" dxfId="157" priority="67">
      <formula>$T$107=249</formula>
    </cfRule>
  </conditionalFormatting>
  <conditionalFormatting sqref="E105 E108 K108">
    <cfRule type="expression" dxfId="156" priority="69">
      <formula>$T$107=249</formula>
    </cfRule>
  </conditionalFormatting>
  <conditionalFormatting sqref="E109">
    <cfRule type="expression" dxfId="155" priority="71">
      <formula>$T$107&gt;180</formula>
    </cfRule>
  </conditionalFormatting>
  <conditionalFormatting sqref="E111">
    <cfRule type="expression" dxfId="154" priority="73">
      <formula>$T$107&gt;180</formula>
    </cfRule>
  </conditionalFormatting>
  <conditionalFormatting sqref="E112">
    <cfRule type="expression" dxfId="153" priority="76">
      <formula>$T$107&gt;100</formula>
    </cfRule>
  </conditionalFormatting>
  <conditionalFormatting sqref="E114">
    <cfRule type="expression" dxfId="152" priority="77">
      <formula>$T$107&gt;100</formula>
    </cfRule>
  </conditionalFormatting>
  <conditionalFormatting sqref="E115 E118">
    <cfRule type="expression" dxfId="151" priority="48">
      <formula>$G$19&gt;2</formula>
    </cfRule>
  </conditionalFormatting>
  <conditionalFormatting sqref="E117">
    <cfRule type="expression" dxfId="150" priority="53">
      <formula>$G$19&gt;2</formula>
    </cfRule>
  </conditionalFormatting>
  <conditionalFormatting sqref="E131 E134">
    <cfRule type="expression" dxfId="149" priority="28">
      <formula>$T$138=249</formula>
    </cfRule>
  </conditionalFormatting>
  <conditionalFormatting sqref="E133 E136">
    <cfRule type="expression" dxfId="148" priority="30">
      <formula>$T$138=249</formula>
    </cfRule>
  </conditionalFormatting>
  <conditionalFormatting sqref="E137">
    <cfRule type="expression" dxfId="147" priority="32">
      <formula>$T$138&gt;180</formula>
    </cfRule>
  </conditionalFormatting>
  <conditionalFormatting sqref="E139">
    <cfRule type="expression" dxfId="146" priority="34">
      <formula>$T$138&gt;180</formula>
    </cfRule>
  </conditionalFormatting>
  <conditionalFormatting sqref="E140">
    <cfRule type="expression" dxfId="145" priority="37">
      <formula>$T$138&gt;100</formula>
    </cfRule>
  </conditionalFormatting>
  <conditionalFormatting sqref="E142">
    <cfRule type="expression" dxfId="144" priority="38">
      <formula>$T$138&gt;100</formula>
    </cfRule>
  </conditionalFormatting>
  <conditionalFormatting sqref="E143 E146">
    <cfRule type="expression" dxfId="143" priority="21">
      <formula>$G$19=5</formula>
    </cfRule>
  </conditionalFormatting>
  <conditionalFormatting sqref="E145">
    <cfRule type="expression" dxfId="142" priority="26">
      <formula>$G$19=5</formula>
    </cfRule>
  </conditionalFormatting>
  <conditionalFormatting sqref="F75 F78">
    <cfRule type="expression" dxfId="141" priority="332">
      <formula>$G$31=249</formula>
    </cfRule>
  </conditionalFormatting>
  <conditionalFormatting sqref="F81">
    <cfRule type="expression" dxfId="140" priority="334">
      <formula>$G$31&gt;180</formula>
    </cfRule>
  </conditionalFormatting>
  <conditionalFormatting sqref="F84">
    <cfRule type="expression" dxfId="139" priority="335">
      <formula>$G$31&gt;100</formula>
    </cfRule>
  </conditionalFormatting>
  <conditionalFormatting sqref="F104 F107 L107">
    <cfRule type="expression" dxfId="138" priority="68">
      <formula>$T$107=249</formula>
    </cfRule>
  </conditionalFormatting>
  <conditionalFormatting sqref="F110">
    <cfRule type="expression" dxfId="137" priority="72">
      <formula>$T$107&gt;180</formula>
    </cfRule>
  </conditionalFormatting>
  <conditionalFormatting sqref="F113">
    <cfRule type="expression" dxfId="136" priority="75">
      <formula>$T$107&gt;100</formula>
    </cfRule>
  </conditionalFormatting>
  <conditionalFormatting sqref="F116 F119">
    <cfRule type="expression" dxfId="135" priority="47">
      <formula>$G$19&gt;2</formula>
    </cfRule>
  </conditionalFormatting>
  <conditionalFormatting sqref="F132 F135">
    <cfRule type="expression" dxfId="134" priority="29">
      <formula>$T$138=249</formula>
    </cfRule>
  </conditionalFormatting>
  <conditionalFormatting sqref="F138">
    <cfRule type="expression" dxfId="133" priority="33">
      <formula>$T$138&gt;180</formula>
    </cfRule>
  </conditionalFormatting>
  <conditionalFormatting sqref="F141">
    <cfRule type="expression" dxfId="132" priority="36">
      <formula>$T$138&gt;100</formula>
    </cfRule>
  </conditionalFormatting>
  <conditionalFormatting sqref="F144 F147">
    <cfRule type="expression" dxfId="131" priority="20">
      <formula>$G$19=5</formula>
    </cfRule>
  </conditionalFormatting>
  <conditionalFormatting sqref="G21">
    <cfRule type="expression" dxfId="130" priority="105">
      <formula>B21=0</formula>
    </cfRule>
  </conditionalFormatting>
  <conditionalFormatting sqref="G22">
    <cfRule type="cellIs" dxfId="129" priority="108" operator="equal">
      <formula>0</formula>
    </cfRule>
    <cfRule type="colorScale" priority="115">
      <colorScale>
        <cfvo type="num" val="-0.1"/>
        <cfvo type="num" val="0"/>
        <cfvo type="num" val="1"/>
        <color rgb="FFFF0000"/>
        <color theme="9"/>
        <color rgb="FFFFFF00"/>
      </colorScale>
    </cfRule>
  </conditionalFormatting>
  <conditionalFormatting sqref="G48:G53">
    <cfRule type="expression" dxfId="128" priority="10">
      <formula>$G$19&gt;3</formula>
    </cfRule>
  </conditionalFormatting>
  <conditionalFormatting sqref="I75:J75 I78:J78">
    <cfRule type="expression" dxfId="127" priority="80">
      <formula>$G$30=249</formula>
    </cfRule>
  </conditionalFormatting>
  <conditionalFormatting sqref="I81:J81">
    <cfRule type="expression" dxfId="126" priority="84">
      <formula>$G$30&gt;180</formula>
    </cfRule>
  </conditionalFormatting>
  <conditionalFormatting sqref="I84:J84">
    <cfRule type="expression" dxfId="125" priority="86">
      <formula>$G$30&gt;100</formula>
    </cfRule>
  </conditionalFormatting>
  <conditionalFormatting sqref="I103:J103">
    <cfRule type="expression" dxfId="124" priority="54">
      <formula>$T$111=249</formula>
    </cfRule>
  </conditionalFormatting>
  <conditionalFormatting sqref="I109:J109">
    <cfRule type="expression" dxfId="123" priority="58">
      <formula>$T$111&gt;180</formula>
    </cfRule>
  </conditionalFormatting>
  <conditionalFormatting sqref="I112:J112">
    <cfRule type="expression" dxfId="122" priority="62">
      <formula>$T$111&gt;100</formula>
    </cfRule>
  </conditionalFormatting>
  <conditionalFormatting sqref="I115:J115 I118:J118">
    <cfRule type="expression" dxfId="121" priority="44">
      <formula>$G$19&gt;3</formula>
    </cfRule>
  </conditionalFormatting>
  <conditionalFormatting sqref="J102:N102">
    <cfRule type="expression" dxfId="120" priority="39">
      <formula>$G$19&gt;3</formula>
    </cfRule>
  </conditionalFormatting>
  <conditionalFormatting sqref="J122:N122">
    <cfRule type="expression" dxfId="119" priority="41">
      <formula>$G$19&gt;3</formula>
    </cfRule>
  </conditionalFormatting>
  <conditionalFormatting sqref="K75 K78">
    <cfRule type="expression" dxfId="118" priority="79">
      <formula>$G$30=249</formula>
    </cfRule>
  </conditionalFormatting>
  <conditionalFormatting sqref="K77 K80">
    <cfRule type="expression" dxfId="117" priority="81">
      <formula>$G$30=249</formula>
    </cfRule>
  </conditionalFormatting>
  <conditionalFormatting sqref="K81">
    <cfRule type="expression" dxfId="116" priority="83">
      <formula>$G$30&gt;180</formula>
    </cfRule>
  </conditionalFormatting>
  <conditionalFormatting sqref="K83">
    <cfRule type="expression" dxfId="115" priority="85">
      <formula>$G$30&gt;180</formula>
    </cfRule>
  </conditionalFormatting>
  <conditionalFormatting sqref="K84">
    <cfRule type="expression" dxfId="114" priority="89">
      <formula>$G$30&gt;100</formula>
    </cfRule>
  </conditionalFormatting>
  <conditionalFormatting sqref="K86">
    <cfRule type="expression" dxfId="113" priority="87">
      <formula>$G$30&gt;100</formula>
    </cfRule>
  </conditionalFormatting>
  <conditionalFormatting sqref="K103">
    <cfRule type="expression" dxfId="112" priority="55">
      <formula>$T$111=249</formula>
    </cfRule>
  </conditionalFormatting>
  <conditionalFormatting sqref="K105">
    <cfRule type="expression" dxfId="111" priority="57">
      <formula>$T$111=249</formula>
    </cfRule>
  </conditionalFormatting>
  <conditionalFormatting sqref="K109">
    <cfRule type="expression" dxfId="110" priority="59">
      <formula>$T$111&gt;180</formula>
    </cfRule>
  </conditionalFormatting>
  <conditionalFormatting sqref="K111">
    <cfRule type="expression" dxfId="109" priority="61">
      <formula>$T$111&gt;180</formula>
    </cfRule>
  </conditionalFormatting>
  <conditionalFormatting sqref="K112">
    <cfRule type="expression" dxfId="108" priority="64">
      <formula>$T$111&gt;100</formula>
    </cfRule>
  </conditionalFormatting>
  <conditionalFormatting sqref="K114">
    <cfRule type="expression" dxfId="107" priority="65">
      <formula>$T$111&gt;100</formula>
    </cfRule>
  </conditionalFormatting>
  <conditionalFormatting sqref="K115 K118">
    <cfRule type="expression" dxfId="106" priority="43">
      <formula>$G$19&gt;3</formula>
    </cfRule>
  </conditionalFormatting>
  <conditionalFormatting sqref="K117">
    <cfRule type="expression" dxfId="105" priority="45">
      <formula>$G$19&gt;3</formula>
    </cfRule>
  </conditionalFormatting>
  <conditionalFormatting sqref="L76 L79">
    <cfRule type="expression" dxfId="104" priority="78">
      <formula>$G$30=249</formula>
    </cfRule>
  </conditionalFormatting>
  <conditionalFormatting sqref="L82">
    <cfRule type="expression" dxfId="103" priority="82">
      <formula>$G$30&gt;180</formula>
    </cfRule>
  </conditionalFormatting>
  <conditionalFormatting sqref="L85">
    <cfRule type="expression" dxfId="102" priority="88">
      <formula>$G$30&gt;100</formula>
    </cfRule>
  </conditionalFormatting>
  <conditionalFormatting sqref="L104">
    <cfRule type="expression" dxfId="101" priority="56">
      <formula>$T$111=249</formula>
    </cfRule>
  </conditionalFormatting>
  <conditionalFormatting sqref="L110">
    <cfRule type="expression" dxfId="100" priority="60">
      <formula>$T$111&gt;180</formula>
    </cfRule>
  </conditionalFormatting>
  <conditionalFormatting sqref="L113">
    <cfRule type="expression" dxfId="99" priority="63">
      <formula>$T$111&gt;100</formula>
    </cfRule>
  </conditionalFormatting>
  <conditionalFormatting sqref="L116 L119">
    <cfRule type="expression" dxfId="98" priority="42">
      <formula>$G$19&gt;3</formula>
    </cfRule>
  </conditionalFormatting>
  <conditionalFormatting sqref="D27">
    <cfRule type="expression" dxfId="3" priority="2">
      <formula>AND($C$17&gt;4, $C$17&lt;6)</formula>
    </cfRule>
  </conditionalFormatting>
  <conditionalFormatting sqref="D28">
    <cfRule type="expression" dxfId="2" priority="3">
      <formula>AND($C$17&gt;3, $C$17&lt;6)</formula>
    </cfRule>
  </conditionalFormatting>
  <conditionalFormatting sqref="D29">
    <cfRule type="expression" dxfId="1" priority="4">
      <formula>AND($C$17&gt;2, $C$17&lt;6)</formula>
    </cfRule>
  </conditionalFormatting>
  <conditionalFormatting sqref="D30">
    <cfRule type="expression" dxfId="0" priority="1">
      <formula>AND($C$17&gt;0, $C$17&lt;6)</formula>
    </cfRule>
  </conditionalFormatting>
  <dataValidations xWindow="570" yWindow="565" count="26">
    <dataValidation type="whole" allowBlank="1" showInputMessage="1" showErrorMessage="1" error="MAX 1200" sqref="G9" xr:uid="{E518663F-2DB7-4605-AD79-BE18D4240378}">
      <formula1>50</formula1>
      <formula2>1200</formula2>
    </dataValidation>
    <dataValidation type="whole" allowBlank="1" showInputMessage="1" showErrorMessage="1" error="MAX 1200" sqref="G10" xr:uid="{E689F8E0-BBD8-44B5-ACAF-9E4DE261CCFF}">
      <formula1>200</formula1>
      <formula2>1200</formula2>
    </dataValidation>
    <dataValidation type="whole" allowBlank="1" showInputMessage="1" showErrorMessage="1" sqref="G12:G13" xr:uid="{0FA5613E-26A9-4F03-AAB3-29B52513298B}">
      <formula1>14</formula1>
      <formula2>22</formula2>
    </dataValidation>
    <dataValidation type="whole" operator="greaterThanOrEqual" allowBlank="1" showInputMessage="1" showErrorMessage="1" sqref="G14" xr:uid="{25CD28FC-6FF1-4530-8426-EF35ADDD13CE}">
      <formula1>0</formula1>
    </dataValidation>
    <dataValidation type="whole" allowBlank="1" showInputMessage="1" showErrorMessage="1" sqref="G15" xr:uid="{89E86C1C-9283-456B-A0C1-07D700B4DDD1}">
      <formula1>0</formula1>
      <formula2>10</formula2>
    </dataValidation>
    <dataValidation type="whole" allowBlank="1" showInputMessage="1" showErrorMessage="1" sqref="G21" xr:uid="{1687A6EA-0D92-4FAD-ABD1-A84044AA7180}">
      <formula1>1</formula1>
      <formula2>150</formula2>
    </dataValidation>
    <dataValidation type="list" operator="lessThan" allowBlank="1" showInputMessage="1" showErrorMessage="1" sqref="G18" xr:uid="{D997A030-BC16-4EFF-ACB6-CD640AD7D902}">
      <formula1>"300,350,400,450,500,550,600,650"</formula1>
    </dataValidation>
    <dataValidation type="list" allowBlank="1" showInputMessage="1" showErrorMessage="1" sqref="G19" xr:uid="{C0D3D3B8-9254-4841-8BB1-BD0C081E8B7D}">
      <formula1>"2,3,4,5"</formula1>
    </dataValidation>
    <dataValidation type="list" allowBlank="1" showInputMessage="1" showErrorMessage="1" sqref="E27" xr:uid="{9F1863E0-D9A9-4CCC-80FE-18C38427454B}">
      <formula1>$AA$5:$AA$7</formula1>
    </dataValidation>
    <dataValidation type="list" allowBlank="1" showInputMessage="1" showErrorMessage="1" sqref="G31" xr:uid="{8E246400-CAAF-42B0-84D8-6C7D1CAFE70D}">
      <formula1>IF(AB31=Y5,ČTYŘI_VÝŠKY,(IF(AB31=X5,TŘI_VÝŠKY,(IF(AB31=W5,DVĚ_VÝŠKY,JEDNA_VÝŠKA)))))</formula1>
    </dataValidation>
    <dataValidation type="list" allowBlank="1" showInputMessage="1" showErrorMessage="1" sqref="G30" xr:uid="{A83A4595-E574-4CFD-9394-5CE3333CC657}">
      <formula1>IF(AB30=Y5,ČTYŘI_VÝŠKY,(IF(AB30=X5,TŘI_VÝŠKY,(IF(AB30=W5,DVĚ_VÝŠKY,JEDNA_VÝŠKA)))))</formula1>
    </dataValidation>
    <dataValidation type="list" allowBlank="1" showInputMessage="1" showErrorMessage="1" sqref="G29" xr:uid="{FCF76CA8-806B-4548-AE9B-0D4D7F6AB480}">
      <formula1>IF(AB29=Y5,ČTYŘI_VÝŠKY,(IF(AB29=X5,TŘI_VÝŠKY,(IF(AB29=W5,DVĚ_VÝŠKY,JEDNA_VÝŠKA)))))</formula1>
    </dataValidation>
    <dataValidation type="list" allowBlank="1" showInputMessage="1" showErrorMessage="1" sqref="G28" xr:uid="{A0E48B4B-5C8D-49CE-8E5F-39AF897C125A}">
      <formula1>IF(AB28=Y5,ČTYŘI_VÝŠKY,(IF(AB28=X5,TŘI_VÝŠKY,(IF(AB28=W5,DVĚ_VÝŠKY,JEDNA_VÝŠKA)))))</formula1>
    </dataValidation>
    <dataValidation type="list" allowBlank="1" showInputMessage="1" showErrorMessage="1" sqref="G27" xr:uid="{D2B3BC7F-B380-448D-8DFB-C23DB8358BC0}">
      <formula1>IF(AB27=Y5,ČTYŘI_VÝŠKY,(IF(AB27=X5,TŘI_VÝŠKY,(IF(AB27=W5,DVĚ_VÝŠKY,JEDNA_VÝŠKA)))))</formula1>
    </dataValidation>
    <dataValidation type="list" allowBlank="1" showInputMessage="1" showErrorMessage="1" sqref="G20" xr:uid="{5E6DD6D4-6EBD-48AA-B11B-128DC8DFBA8F}">
      <formula1>$AG$5:$AG$6</formula1>
    </dataValidation>
    <dataValidation type="list" allowBlank="1" showInputMessage="1" showErrorMessage="1" sqref="H30" xr:uid="{07FF6064-6C95-4B54-9442-FD99993F5C40}">
      <formula1>IF($W$30=1,$AG$5:$AG$6,$AG$7)</formula1>
    </dataValidation>
    <dataValidation type="list" allowBlank="1" showInputMessage="1" showErrorMessage="1" sqref="H31" xr:uid="{4F8B83DE-AF65-47BA-ADD6-10D200BD6763}">
      <formula1>IF($W$31=1,$AG$5:$AG$6,$AG$7)</formula1>
    </dataValidation>
    <dataValidation type="list" allowBlank="1" showInputMessage="1" showErrorMessage="1" sqref="H29" xr:uid="{8A4F299F-E1C4-4953-991C-A5550AF633CA}">
      <formula1>IF($W$29=1,$AG$5:$AG$6,$AG$7)</formula1>
    </dataValidation>
    <dataValidation type="list" allowBlank="1" showInputMessage="1" showErrorMessage="1" sqref="H28" xr:uid="{751C37C6-D810-4B02-8B65-474D69146E77}">
      <formula1>IF($W$28=1,$AG$5:$AG$6,$AG$7)</formula1>
    </dataValidation>
    <dataValidation type="list" allowBlank="1" showInputMessage="1" showErrorMessage="1" sqref="H27" xr:uid="{DACC8CC7-0DE6-4E60-93A9-E2AF91A2C511}">
      <formula1>IF($W$27=1,$AG$5:$AG$6,$AG$7)</formula1>
    </dataValidation>
    <dataValidation type="whole" allowBlank="1" showInputMessage="1" showErrorMessage="1" sqref="G16:G17" xr:uid="{664F3C84-225F-4E6B-B502-46D01F54D076}">
      <formula1>0</formula1>
      <formula2>18</formula2>
    </dataValidation>
    <dataValidation type="whole" allowBlank="1" showInputMessage="1" showErrorMessage="1" sqref="D30" xr:uid="{F6C0E131-10D7-46BF-B813-A680A7969C97}">
      <formula1>113</formula1>
      <formula2>1000</formula2>
    </dataValidation>
    <dataValidation type="whole" allowBlank="1" showInputMessage="1" showErrorMessage="1" sqref="D28" xr:uid="{78C31E37-3572-4E3D-A9A6-C59ACC19ECDD}">
      <formula1>IF(G19=4,113+G12-G14,113)</formula1>
      <formula2>1000</formula2>
    </dataValidation>
    <dataValidation type="whole" allowBlank="1" showInputMessage="1" showErrorMessage="1" sqref="D31" xr:uid="{022762CA-2340-4675-8446-E70B98697301}">
      <formula1>113+(G12-G16)</formula1>
      <formula2>1000</formula2>
    </dataValidation>
    <dataValidation type="whole" allowBlank="1" showInputMessage="1" showErrorMessage="1" sqref="D29" xr:uid="{0A19357C-3E16-489C-88C4-50B021F3DB59}">
      <formula1>IF(G19=3,113+G12-G14,113)</formula1>
      <formula2>1000</formula2>
    </dataValidation>
    <dataValidation type="whole" allowBlank="1" showInputMessage="1" showErrorMessage="1" sqref="D27" xr:uid="{F3A1481F-249E-4E4D-A098-092C043B035B}">
      <formula1>113+G12-G14</formula1>
      <formula2>1000</formula2>
    </dataValidation>
  </dataValidations>
  <hyperlinks>
    <hyperlink ref="B37:D38" location="Menu!A1" display="Menu!A1" xr:uid="{B54D093E-7515-48CD-8E33-D07FB099BAB7}"/>
    <hyperlink ref="P2:P3" location="Úvod!A1" display="Úvod!A1" xr:uid="{82F38A59-5573-4C8A-8515-D0CDFBC795E8}"/>
  </hyperlinks>
  <printOptions verticalCentered="1"/>
  <pageMargins left="0.31496062992125984" right="0.19685039370078741" top="0.19685039370078741" bottom="0.15748031496062992" header="0" footer="0"/>
  <pageSetup paperSize="9" scale="95" orientation="landscape" verticalDpi="6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099A-F137-48DE-A16B-9B1FA029CEF1}">
  <sheetPr codeName="List6">
    <pageSetUpPr autoPageBreaks="0"/>
  </sheetPr>
  <dimension ref="A2:AJ212"/>
  <sheetViews>
    <sheetView showGridLines="0" showRowColHeaders="0" workbookViewId="0">
      <selection activeCell="L9" sqref="L9:M9"/>
    </sheetView>
  </sheetViews>
  <sheetFormatPr defaultColWidth="0" defaultRowHeight="15" x14ac:dyDescent="0.25"/>
  <cols>
    <col min="1" max="1" width="12.42578125" customWidth="1"/>
    <col min="2" max="2" width="5.7109375" customWidth="1"/>
    <col min="3" max="3" width="5" customWidth="1"/>
    <col min="4" max="5" width="7.7109375" customWidth="1"/>
    <col min="6" max="6" width="5" customWidth="1"/>
    <col min="7" max="7" width="4.85546875" customWidth="1"/>
    <col min="8" max="9" width="5.5703125" customWidth="1"/>
    <col min="10" max="12" width="7" customWidth="1"/>
    <col min="13" max="13" width="11.7109375" customWidth="1"/>
    <col min="14" max="14" width="6.7109375" customWidth="1"/>
    <col min="15" max="15" width="6.5703125" customWidth="1"/>
    <col min="16" max="16" width="12" customWidth="1"/>
    <col min="17" max="17" width="5.5703125" customWidth="1"/>
    <col min="18" max="18" width="5.28515625" customWidth="1"/>
    <col min="19" max="20" width="5" customWidth="1"/>
    <col min="21" max="21" width="3.42578125" customWidth="1"/>
    <col min="22" max="23" width="12.28515625" customWidth="1"/>
    <col min="24" max="24" width="9.140625" customWidth="1"/>
    <col min="25" max="25" width="16.5703125" hidden="1"/>
    <col min="26" max="26" width="9.140625" hidden="1"/>
    <col min="27" max="27" width="17.5703125" hidden="1"/>
    <col min="28" max="28" width="13.140625" hidden="1"/>
    <col min="29" max="29" width="13.42578125" hidden="1"/>
    <col min="30" max="30" width="10.5703125" hidden="1"/>
    <col min="31" max="31" width="16.42578125" hidden="1"/>
    <col min="32" max="32" width="9.140625" hidden="1"/>
    <col min="33" max="33" width="16.85546875" hidden="1"/>
    <col min="34" max="16384" width="9.140625" hidden="1"/>
  </cols>
  <sheetData>
    <row r="2" spans="1:33" s="6" customFormat="1" ht="15" customHeight="1" x14ac:dyDescent="0.25">
      <c r="A2" s="11"/>
      <c r="B2" s="11"/>
      <c r="C2" s="11"/>
      <c r="D2" s="11"/>
      <c r="E2" s="337" t="str">
        <f>"StrongMini - "&amp;Překlady!C5</f>
        <v xml:space="preserve">StrongMini - Fiókok frontval </v>
      </c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10" t="str">
        <f>Překlady!C7</f>
        <v>Bevezetés</v>
      </c>
      <c r="W2" s="310"/>
      <c r="X2" s="310"/>
    </row>
    <row r="3" spans="1:33" s="6" customFormat="1" ht="10.5" customHeight="1" x14ac:dyDescent="0.25">
      <c r="A3" s="11"/>
      <c r="B3" s="11"/>
      <c r="C3" s="11"/>
      <c r="D3" s="11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10"/>
      <c r="W3" s="310"/>
      <c r="X3" s="310"/>
    </row>
    <row r="5" spans="1:33" ht="15.75" x14ac:dyDescent="0.25">
      <c r="K5" s="186"/>
      <c r="Y5" t="s">
        <v>472</v>
      </c>
      <c r="Z5" t="s">
        <v>473</v>
      </c>
      <c r="AA5" t="s">
        <v>474</v>
      </c>
      <c r="AC5" t="s">
        <v>476</v>
      </c>
      <c r="AD5" t="str">
        <f>Překlady!C31</f>
        <v>fehér</v>
      </c>
      <c r="AE5" t="str">
        <f>Překlady!C98</f>
        <v xml:space="preserve"> teljes kihúzású</v>
      </c>
      <c r="AF5" t="s">
        <v>477</v>
      </c>
      <c r="AG5" t="s">
        <v>472</v>
      </c>
    </row>
    <row r="6" spans="1:33" x14ac:dyDescent="0.25">
      <c r="Y6">
        <v>89</v>
      </c>
      <c r="Z6">
        <v>89</v>
      </c>
      <c r="AA6">
        <v>89</v>
      </c>
      <c r="AB6">
        <v>89</v>
      </c>
      <c r="AC6">
        <v>59</v>
      </c>
      <c r="AD6" t="str">
        <f>Překlady!C33</f>
        <v>szürke</v>
      </c>
      <c r="AE6" t="str">
        <f>Překlady!C99</f>
        <v>részleges kihúzású</v>
      </c>
      <c r="AF6" t="s">
        <v>478</v>
      </c>
      <c r="AG6" t="s">
        <v>473</v>
      </c>
    </row>
    <row r="7" spans="1:33" x14ac:dyDescent="0.25">
      <c r="Z7">
        <v>121</v>
      </c>
      <c r="AA7">
        <v>121</v>
      </c>
      <c r="AB7">
        <v>121</v>
      </c>
      <c r="AC7">
        <v>91</v>
      </c>
      <c r="AF7" t="s">
        <v>479</v>
      </c>
      <c r="AG7" t="s">
        <v>474</v>
      </c>
    </row>
    <row r="8" spans="1:33" x14ac:dyDescent="0.25">
      <c r="B8" s="56" t="str">
        <f>Překlady!C29</f>
        <v>A korpusz méretei mm-ben</v>
      </c>
      <c r="C8" s="56"/>
      <c r="D8" s="56"/>
      <c r="E8" s="56"/>
      <c r="F8" s="56"/>
      <c r="G8" s="56"/>
      <c r="H8" s="1"/>
      <c r="M8" s="21"/>
      <c r="AA8">
        <v>185</v>
      </c>
      <c r="AB8">
        <v>185</v>
      </c>
      <c r="AC8">
        <v>155</v>
      </c>
    </row>
    <row r="9" spans="1:33" x14ac:dyDescent="0.25">
      <c r="B9" s="326" t="str">
        <f>Překlady!C9</f>
        <v>Korpuszmagasság (A)</v>
      </c>
      <c r="C9" s="326"/>
      <c r="D9" s="326"/>
      <c r="E9" s="326"/>
      <c r="F9" s="326"/>
      <c r="G9" s="326"/>
      <c r="H9" s="326"/>
      <c r="I9" s="326"/>
      <c r="J9" s="326"/>
      <c r="K9" s="326"/>
      <c r="L9" s="328"/>
      <c r="M9" s="328"/>
      <c r="AC9">
        <v>219</v>
      </c>
    </row>
    <row r="10" spans="1:33" x14ac:dyDescent="0.25">
      <c r="B10" s="259" t="str">
        <f>Překlady!C10</f>
        <v>Korpuszszélesség (B)</v>
      </c>
      <c r="C10" s="260"/>
      <c r="D10" s="260"/>
      <c r="E10" s="260"/>
      <c r="F10" s="260"/>
      <c r="G10" s="260"/>
      <c r="H10" s="260"/>
      <c r="I10" s="260"/>
      <c r="J10" s="260"/>
      <c r="K10" s="261"/>
      <c r="L10" s="328"/>
      <c r="M10" s="328"/>
    </row>
    <row r="11" spans="1:33" ht="33.75" customHeight="1" x14ac:dyDescent="0.25">
      <c r="B11" s="338" t="str">
        <f>Překlady!C76</f>
        <v>A fiók maximális ajánlott szélessége a fióksín hosszának 1,6-szorosa</v>
      </c>
      <c r="C11" s="338"/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AD11" s="195" t="s">
        <v>493</v>
      </c>
      <c r="AE11" s="195" t="s">
        <v>494</v>
      </c>
    </row>
    <row r="12" spans="1:33" x14ac:dyDescent="0.25">
      <c r="B12" s="326" t="str">
        <f>Překlady!C11</f>
        <v>Alsó és felső fal vastagság ©</v>
      </c>
      <c r="C12" s="326"/>
      <c r="D12" s="326"/>
      <c r="E12" s="326"/>
      <c r="F12" s="326"/>
      <c r="G12" s="326"/>
      <c r="H12" s="326"/>
      <c r="I12" s="326"/>
      <c r="J12" s="326"/>
      <c r="K12" s="326"/>
      <c r="L12" s="328"/>
      <c r="M12" s="328"/>
      <c r="Y12" s="65">
        <f>SUM(Y13:Y24)</f>
        <v>848</v>
      </c>
      <c r="Z12" s="65">
        <f>SUM(Z13:Z23)</f>
        <v>866</v>
      </c>
      <c r="AC12">
        <v>89</v>
      </c>
      <c r="AD12" s="193">
        <v>111</v>
      </c>
      <c r="AE12" s="194">
        <f>AD12+(RIGHT($AC$15,1))</f>
        <v>116</v>
      </c>
    </row>
    <row r="13" spans="1:33" x14ac:dyDescent="0.25">
      <c r="B13" s="326" t="str">
        <f>Překlady!C12</f>
        <v>Oldalfal vastagság (D)</v>
      </c>
      <c r="C13" s="326"/>
      <c r="D13" s="326"/>
      <c r="E13" s="326"/>
      <c r="F13" s="326"/>
      <c r="G13" s="326"/>
      <c r="H13" s="326"/>
      <c r="I13" s="326"/>
      <c r="J13" s="326"/>
      <c r="K13" s="326"/>
      <c r="L13" s="328"/>
      <c r="M13" s="328"/>
      <c r="Y13">
        <v>2</v>
      </c>
      <c r="Z13">
        <v>2</v>
      </c>
      <c r="AC13">
        <v>121</v>
      </c>
      <c r="AD13" s="193">
        <v>143</v>
      </c>
      <c r="AE13" s="194">
        <f t="shared" ref="AE13:AE14" si="0">AD13+(RIGHT($AC$15,1))</f>
        <v>148</v>
      </c>
    </row>
    <row r="14" spans="1:33" x14ac:dyDescent="0.25">
      <c r="B14" s="326" t="str">
        <f>Překlady!C13</f>
        <v>Rés a felső részen (E)</v>
      </c>
      <c r="C14" s="326"/>
      <c r="D14" s="326"/>
      <c r="E14" s="326"/>
      <c r="F14" s="326"/>
      <c r="G14" s="326"/>
      <c r="H14" s="326"/>
      <c r="I14" s="326"/>
      <c r="J14" s="326"/>
      <c r="K14" s="326"/>
      <c r="L14" s="327"/>
      <c r="M14" s="327"/>
      <c r="Y14">
        <v>16</v>
      </c>
      <c r="Z14">
        <v>132</v>
      </c>
      <c r="AC14">
        <v>185</v>
      </c>
      <c r="AD14" s="193">
        <v>207</v>
      </c>
      <c r="AE14" s="194">
        <f t="shared" si="0"/>
        <v>212</v>
      </c>
    </row>
    <row r="15" spans="1:33" x14ac:dyDescent="0.25">
      <c r="B15" s="326" t="str">
        <f>Překlady!C14</f>
        <v>Frontok közötti réstávolság (F)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7"/>
      <c r="M15" s="327"/>
      <c r="Y15">
        <v>116</v>
      </c>
      <c r="AB15" t="s">
        <v>495</v>
      </c>
      <c r="AC15" s="64" t="s">
        <v>2196</v>
      </c>
    </row>
    <row r="16" spans="1:33" x14ac:dyDescent="0.25">
      <c r="B16" s="326" t="str">
        <f>Překlady!C15</f>
        <v>Túlnyúlás a korpusz alja alatt (G)</v>
      </c>
      <c r="C16" s="326"/>
      <c r="D16" s="326"/>
      <c r="E16" s="326"/>
      <c r="F16" s="326"/>
      <c r="G16" s="326"/>
      <c r="H16" s="326"/>
      <c r="I16" s="326"/>
      <c r="J16" s="326"/>
      <c r="K16" s="326"/>
      <c r="L16" s="327"/>
      <c r="M16" s="327"/>
      <c r="Y16">
        <v>2</v>
      </c>
      <c r="Z16">
        <v>2</v>
      </c>
    </row>
    <row r="17" spans="1:36" x14ac:dyDescent="0.25">
      <c r="B17" s="326" t="str">
        <f>Překlady!C16</f>
        <v>Oldalsó rések (H)</v>
      </c>
      <c r="C17" s="326"/>
      <c r="D17" s="326"/>
      <c r="E17" s="326"/>
      <c r="F17" s="326"/>
      <c r="G17" s="326"/>
      <c r="H17" s="326"/>
      <c r="I17" s="326"/>
      <c r="J17" s="326"/>
      <c r="K17" s="326"/>
      <c r="L17" s="327"/>
      <c r="M17" s="327"/>
      <c r="Y17">
        <v>116</v>
      </c>
      <c r="Z17">
        <v>116</v>
      </c>
    </row>
    <row r="18" spans="1:36" x14ac:dyDescent="0.25">
      <c r="B18" s="326" t="str">
        <f>Překlady!C17</f>
        <v>Fióksín hossz (I)</v>
      </c>
      <c r="C18" s="326"/>
      <c r="D18" s="326"/>
      <c r="E18" s="326"/>
      <c r="F18" s="326"/>
      <c r="G18" s="326"/>
      <c r="H18" s="326"/>
      <c r="I18" s="326"/>
      <c r="J18" s="326"/>
      <c r="K18" s="326"/>
      <c r="L18" s="328"/>
      <c r="M18" s="328"/>
      <c r="Y18">
        <v>2</v>
      </c>
      <c r="Z18">
        <v>2</v>
      </c>
    </row>
    <row r="19" spans="1:36" x14ac:dyDescent="0.25">
      <c r="B19" s="326" t="str">
        <f>Překlady!C18</f>
        <v>Fiókok száma</v>
      </c>
      <c r="C19" s="326"/>
      <c r="D19" s="326"/>
      <c r="E19" s="326"/>
      <c r="F19" s="326"/>
      <c r="G19" s="326"/>
      <c r="H19" s="326"/>
      <c r="I19" s="326"/>
      <c r="J19" s="326"/>
      <c r="K19" s="326"/>
      <c r="L19" s="328"/>
      <c r="M19" s="328"/>
      <c r="Y19">
        <v>148</v>
      </c>
      <c r="Z19">
        <v>148</v>
      </c>
    </row>
    <row r="20" spans="1:36" x14ac:dyDescent="0.25">
      <c r="B20" s="326" t="str">
        <f>Překlady!C97</f>
        <v>Fióksín típusa</v>
      </c>
      <c r="C20" s="326"/>
      <c r="D20" s="326"/>
      <c r="E20" s="326"/>
      <c r="F20" s="326"/>
      <c r="G20" s="326"/>
      <c r="H20" s="326"/>
      <c r="I20" s="326"/>
      <c r="J20" s="326"/>
      <c r="K20" s="326"/>
      <c r="L20" s="328"/>
      <c r="M20" s="328"/>
      <c r="Y20">
        <v>2</v>
      </c>
      <c r="Z20">
        <v>2</v>
      </c>
    </row>
    <row r="21" spans="1:36" x14ac:dyDescent="0.25">
      <c r="B21" s="326" t="str">
        <f>Překlady!C20</f>
        <v>Tartalmaz a front fogantyúprofilt?</v>
      </c>
      <c r="C21" s="326"/>
      <c r="D21" s="326"/>
      <c r="E21" s="326"/>
      <c r="F21" s="326"/>
      <c r="G21" s="326"/>
      <c r="H21" s="326"/>
      <c r="I21" s="326"/>
      <c r="J21" s="326"/>
      <c r="K21" s="326"/>
      <c r="L21" s="328"/>
      <c r="M21" s="328"/>
      <c r="Y21">
        <v>212</v>
      </c>
      <c r="Z21">
        <v>230</v>
      </c>
    </row>
    <row r="22" spans="1:36" x14ac:dyDescent="0.25">
      <c r="B22" s="326">
        <f>IF(L21=Překlady!C67,Překlady!C21,0)</f>
        <v>0</v>
      </c>
      <c r="C22" s="326"/>
      <c r="D22" s="326"/>
      <c r="E22" s="326"/>
      <c r="F22" s="326"/>
      <c r="G22" s="326"/>
      <c r="H22" s="326"/>
      <c r="I22" s="326"/>
      <c r="J22" s="326"/>
      <c r="K22" s="326"/>
      <c r="L22" s="328"/>
      <c r="M22" s="328"/>
      <c r="Y22">
        <v>2</v>
      </c>
      <c r="Z22">
        <v>2</v>
      </c>
    </row>
    <row r="23" spans="1:36" ht="18" customHeight="1" x14ac:dyDescent="0.25">
      <c r="B23" s="326" t="str">
        <f>Překlady!C19</f>
        <v>A frontok magasságának számítása</v>
      </c>
      <c r="C23" s="326"/>
      <c r="D23" s="326"/>
      <c r="E23" s="326"/>
      <c r="F23" s="326"/>
      <c r="G23" s="326"/>
      <c r="H23" s="326"/>
      <c r="I23" s="326"/>
      <c r="J23" s="326"/>
      <c r="K23" s="326"/>
      <c r="L23" s="339">
        <f>(IF($L19&gt;0,L9-AG26,0))-D31-D30-D29-D28-D27</f>
        <v>0</v>
      </c>
      <c r="M23" s="339"/>
      <c r="Y23">
        <v>212</v>
      </c>
      <c r="Z23">
        <v>230</v>
      </c>
    </row>
    <row r="24" spans="1:36" x14ac:dyDescent="0.25">
      <c r="Y24">
        <v>18</v>
      </c>
    </row>
    <row r="25" spans="1:36" ht="30.75" customHeight="1" x14ac:dyDescent="0.25">
      <c r="A25" s="243" t="str">
        <f>Překlady!C37</f>
        <v>Az adatokat mindig alulról kezdje kitölteni</v>
      </c>
      <c r="B25" s="268" t="str">
        <f>Překlady!C27</f>
        <v>Fióksín pozíció</v>
      </c>
      <c r="C25" s="268"/>
      <c r="D25" s="268" t="str">
        <f>IF(L21=Překlady!C67,Překlady!C66,Překlady!C28)</f>
        <v>Frontmagasság</v>
      </c>
      <c r="E25" s="268"/>
      <c r="F25" s="268" t="str">
        <f>Překlady!C30</f>
        <v>Szín kiválasztása</v>
      </c>
      <c r="G25" s="268"/>
      <c r="H25" s="268" t="str">
        <f>Překlady!C34</f>
        <v>Válassza ki az oldalfal magasságát</v>
      </c>
      <c r="I25" s="268"/>
      <c r="J25" s="322" t="str">
        <f>Překlady!C72</f>
        <v xml:space="preserve">Komplett cikkszáma </v>
      </c>
      <c r="K25" s="322"/>
      <c r="L25" s="323" t="str">
        <f>Překlady!C73</f>
        <v>Komplett elnevezése</v>
      </c>
      <c r="M25" s="324"/>
      <c r="N25" s="324"/>
      <c r="O25" s="324"/>
      <c r="P25" s="324"/>
      <c r="Q25" s="324"/>
      <c r="R25" s="324"/>
      <c r="S25" s="324"/>
      <c r="T25" s="324"/>
      <c r="U25" s="324"/>
      <c r="V25" s="325"/>
    </row>
    <row r="26" spans="1:36" ht="30.75" customHeight="1" x14ac:dyDescent="0.25">
      <c r="A26" s="243"/>
      <c r="B26" s="268"/>
      <c r="C26" s="268"/>
      <c r="D26" s="268"/>
      <c r="E26" s="268"/>
      <c r="F26" s="268"/>
      <c r="G26" s="268"/>
      <c r="H26" s="268"/>
      <c r="I26" s="268"/>
      <c r="J26" s="322"/>
      <c r="K26" s="322"/>
      <c r="L26" s="323"/>
      <c r="M26" s="324"/>
      <c r="N26" s="324"/>
      <c r="O26" s="324"/>
      <c r="P26" s="324"/>
      <c r="Q26" s="324"/>
      <c r="R26" s="324"/>
      <c r="S26" s="324"/>
      <c r="T26" s="324"/>
      <c r="U26" s="324"/>
      <c r="V26" s="325"/>
      <c r="Z26" t="s">
        <v>481</v>
      </c>
      <c r="AG26">
        <f>SUM($AG$27:$AG$31)</f>
        <v>0</v>
      </c>
    </row>
    <row r="27" spans="1:36" ht="15" customHeight="1" x14ac:dyDescent="0.25">
      <c r="A27" s="243"/>
      <c r="B27" s="326" t="str">
        <f>IF(AND($L$19&gt;4,$L$19&lt;6),Překlady!C26,"")</f>
        <v/>
      </c>
      <c r="C27" s="326"/>
      <c r="D27" s="321"/>
      <c r="E27" s="321"/>
      <c r="F27" s="336"/>
      <c r="G27" s="336"/>
      <c r="H27" s="334"/>
      <c r="I27" s="334"/>
      <c r="J27" s="258" t="str">
        <f>IFERROR(VLOOKUP(AJ27,Karty!$O$235:'Karty'!$P$318,2,0),"")</f>
        <v/>
      </c>
      <c r="K27" s="258"/>
      <c r="L27" s="330" t="str">
        <f>IFERROR(VLOOKUP(AJ27,Karty!$O$235:$Q$318,3,0),"")</f>
        <v/>
      </c>
      <c r="M27" s="331"/>
      <c r="N27" s="331"/>
      <c r="O27" s="331"/>
      <c r="P27" s="331"/>
      <c r="Q27" s="331"/>
      <c r="R27" s="331"/>
      <c r="S27" s="331"/>
      <c r="T27" s="331"/>
      <c r="U27" s="331"/>
      <c r="V27" s="332"/>
      <c r="Y27" t="e">
        <f>VLOOKUP(L19,AB35:AG39,6,0)</f>
        <v>#N/A</v>
      </c>
      <c r="Z27" s="2" t="e">
        <f>VLOOKUP(Y27,$Y$34:$Z$39,2,0)-L22</f>
        <v>#N/A</v>
      </c>
      <c r="AA27" t="e">
        <f>IF(Z27&gt;207,"89/121/185",IF(Z27&gt;143,"89/121", IF(Z27&gt;111,"89", "nelze")))</f>
        <v>#N/A</v>
      </c>
      <c r="AB27" t="e">
        <f>VLOOKUP(AA27,$AF$5:$AG$7,2,0)</f>
        <v>#N/A</v>
      </c>
      <c r="AD27" t="s">
        <v>482</v>
      </c>
      <c r="AG27">
        <f>IF(L19=5,(L14+(4*L15)-L16),0)</f>
        <v>0</v>
      </c>
      <c r="AH27" t="str">
        <f>IF(F27=AD5,"bílá",IF(F27=AD6,"šedá","chyba"))</f>
        <v>chyba</v>
      </c>
      <c r="AI27" t="str">
        <f>IF(L20=AE5,"plnovýsuv",IF(L20=AE6,"částečný výsuv","chyba"))</f>
        <v>chyba</v>
      </c>
      <c r="AJ27" t="str">
        <f>_xlfn.CONCAT($AH$27,"_",$AI$27,"_",H27,"_",$L$18)</f>
        <v>chyba_chyba__</v>
      </c>
    </row>
    <row r="28" spans="1:36" x14ac:dyDescent="0.25">
      <c r="A28" s="243"/>
      <c r="B28" s="326" t="str">
        <f>IF(AND($L$19&gt;3,$L$19&lt;6),Překlady!C25,"")</f>
        <v/>
      </c>
      <c r="C28" s="326"/>
      <c r="D28" s="321"/>
      <c r="E28" s="321"/>
      <c r="F28" s="336"/>
      <c r="G28" s="336"/>
      <c r="H28" s="334"/>
      <c r="I28" s="334"/>
      <c r="J28" s="258" t="str">
        <f>IFERROR(VLOOKUP(AJ28,Karty!$O$235:'Karty'!$P$318,2,0),"")</f>
        <v/>
      </c>
      <c r="K28" s="258"/>
      <c r="L28" s="330" t="str">
        <f>IFERROR(VLOOKUP(AJ28,Karty!$O$235:$Q$318,3,0),"")</f>
        <v/>
      </c>
      <c r="M28" s="331"/>
      <c r="N28" s="331"/>
      <c r="O28" s="331"/>
      <c r="P28" s="331"/>
      <c r="Q28" s="331"/>
      <c r="R28" s="331"/>
      <c r="S28" s="331"/>
      <c r="T28" s="331"/>
      <c r="U28" s="331"/>
      <c r="V28" s="332"/>
      <c r="Y28" t="e">
        <f>VLOOKUP(L19,AB35:AG39,5,0)</f>
        <v>#N/A</v>
      </c>
      <c r="Z28" s="2" t="e">
        <f>VLOOKUP(Y28,$Y$34:$Z$39,2,0)-L22</f>
        <v>#N/A</v>
      </c>
      <c r="AA28" t="e">
        <f>IF(Z28&gt;207,"89/121/185",IF(Z28&gt;143,"89/121", IF(Z28&gt;111,"89", "nelze")))</f>
        <v>#N/A</v>
      </c>
      <c r="AB28" t="e">
        <f>VLOOKUP(AA28,$AF$5:$AG$7,2,0)</f>
        <v>#N/A</v>
      </c>
      <c r="AD28" t="s">
        <v>482</v>
      </c>
      <c r="AG28">
        <f>IF(L19=4,(L14+(3*L15)-L16),0)</f>
        <v>0</v>
      </c>
      <c r="AJ28" t="str">
        <f>_xlfn.CONCAT($AH$27,"_",$AI$27,"_",H28,"_",$L$18)</f>
        <v>chyba_chyba__</v>
      </c>
    </row>
    <row r="29" spans="1:36" x14ac:dyDescent="0.25">
      <c r="A29" s="243"/>
      <c r="B29" s="326" t="str">
        <f>IF(AND($L$19&gt;2,$L$19&lt;6),Překlady!C24,"")</f>
        <v/>
      </c>
      <c r="C29" s="326"/>
      <c r="D29" s="321"/>
      <c r="E29" s="321"/>
      <c r="F29" s="336"/>
      <c r="G29" s="336"/>
      <c r="H29" s="334"/>
      <c r="I29" s="334"/>
      <c r="J29" s="258" t="str">
        <f>IFERROR(VLOOKUP(AJ29,Karty!$O$235:'Karty'!$P$318,2,0),"")</f>
        <v/>
      </c>
      <c r="K29" s="258"/>
      <c r="L29" s="330" t="str">
        <f>IFERROR(VLOOKUP(AJ29,Karty!$O$235:$Q$318,3,0),"")</f>
        <v/>
      </c>
      <c r="M29" s="331"/>
      <c r="N29" s="331"/>
      <c r="O29" s="331"/>
      <c r="P29" s="331"/>
      <c r="Q29" s="331"/>
      <c r="R29" s="331"/>
      <c r="S29" s="331"/>
      <c r="T29" s="331"/>
      <c r="U29" s="331"/>
      <c r="V29" s="332"/>
      <c r="Y29" t="e">
        <f>VLOOKUP(L19,AB35:AG39,4,0)</f>
        <v>#N/A</v>
      </c>
      <c r="Z29" s="2" t="e">
        <f>VLOOKUP(Y29,$Y$34:$Z$39,2,0)-L22</f>
        <v>#N/A</v>
      </c>
      <c r="AA29" t="e">
        <f>IF(Z29&gt;207,"89/121/185",IF(Z29&gt;143,"89/121",IF(Z29&gt;111,"89","nelze")))</f>
        <v>#N/A</v>
      </c>
      <c r="AB29" t="e">
        <f>VLOOKUP(AA29,$AF$5:$AG$7,2,0)</f>
        <v>#N/A</v>
      </c>
      <c r="AD29" t="s">
        <v>482</v>
      </c>
      <c r="AG29">
        <f>IF(L19=3,(L14+(2*L15)-L16),0)</f>
        <v>0</v>
      </c>
      <c r="AJ29" t="str">
        <f>_xlfn.CONCAT($AH$27,"_",$AI$27,"_",H29,"_",$L$18)</f>
        <v>chyba_chyba__</v>
      </c>
    </row>
    <row r="30" spans="1:36" x14ac:dyDescent="0.25">
      <c r="A30" s="243"/>
      <c r="B30" s="326" t="str">
        <f>IF(AND($L$19&gt;1,$L$19&lt;6),Překlady!C23,"")</f>
        <v/>
      </c>
      <c r="C30" s="326"/>
      <c r="D30" s="321"/>
      <c r="E30" s="321"/>
      <c r="F30" s="336"/>
      <c r="G30" s="336"/>
      <c r="H30" s="334"/>
      <c r="I30" s="334"/>
      <c r="J30" s="258" t="str">
        <f>IFERROR(VLOOKUP(AJ30,Karty!$O$235:'Karty'!$P$318,2,0),"")</f>
        <v/>
      </c>
      <c r="K30" s="258"/>
      <c r="L30" s="330" t="str">
        <f>IFERROR(VLOOKUP(AJ30,Karty!$O$235:$Q$318,3,0),"")</f>
        <v/>
      </c>
      <c r="M30" s="331"/>
      <c r="N30" s="331"/>
      <c r="O30" s="331"/>
      <c r="P30" s="331"/>
      <c r="Q30" s="331"/>
      <c r="R30" s="331"/>
      <c r="S30" s="331"/>
      <c r="T30" s="331"/>
      <c r="U30" s="331"/>
      <c r="V30" s="332"/>
      <c r="Y30" t="e">
        <f>VLOOKUP(L19,AB35:AD39,3,0)</f>
        <v>#N/A</v>
      </c>
      <c r="Z30" s="2" t="e">
        <f>VLOOKUP(Y30,$Y$34:$Z$39,2,0)-L22</f>
        <v>#N/A</v>
      </c>
      <c r="AA30" t="e">
        <f>IF(Z30&gt;207,"89/121/185",IF(Z30&gt;143,"89/121",IF(Z30&gt;111,"89","nelze")))</f>
        <v>#N/A</v>
      </c>
      <c r="AB30" t="e">
        <f>VLOOKUP(AA30,$AF$5:$AG$7,2,0)</f>
        <v>#N/A</v>
      </c>
      <c r="AD30" t="s">
        <v>482</v>
      </c>
      <c r="AG30">
        <f>IF(L19=2,(L14+L15-L16),0)</f>
        <v>0</v>
      </c>
      <c r="AJ30" t="str">
        <f>_xlfn.CONCAT($AH$27,"_",$AI$27,"_",H30,"_",$L$18)</f>
        <v>chyba_chyba__</v>
      </c>
    </row>
    <row r="31" spans="1:36" x14ac:dyDescent="0.25">
      <c r="A31" s="243"/>
      <c r="B31" s="326" t="str">
        <f>IF(AND($L$19&gt;0,L19&lt;6),Překlady!C22,"")</f>
        <v/>
      </c>
      <c r="C31" s="326"/>
      <c r="D31" s="334"/>
      <c r="E31" s="334"/>
      <c r="F31" s="336"/>
      <c r="G31" s="336"/>
      <c r="H31" s="334"/>
      <c r="I31" s="334"/>
      <c r="J31" s="258" t="str">
        <f>IFERROR(VLOOKUP(AJ31,Karty!$O$235:'Karty'!$P$318,2,0),"")</f>
        <v/>
      </c>
      <c r="K31" s="258"/>
      <c r="L31" s="330" t="str">
        <f>IFERROR(VLOOKUP(AJ31,Karty!$O$235:$Q$318,3,0),"")</f>
        <v/>
      </c>
      <c r="M31" s="331"/>
      <c r="N31" s="331"/>
      <c r="O31" s="331"/>
      <c r="P31" s="331"/>
      <c r="Q31" s="331"/>
      <c r="R31" s="331"/>
      <c r="S31" s="331"/>
      <c r="T31" s="331"/>
      <c r="U31" s="331"/>
      <c r="V31" s="332"/>
      <c r="Y31" t="e">
        <f>VLOOKUP(L19,AB35:AC39,2,0)</f>
        <v>#N/A</v>
      </c>
      <c r="Z31" s="2" t="e">
        <f>VLOOKUP(Y31,$Y$34:$Z$39,2,0)-L22</f>
        <v>#N/A</v>
      </c>
      <c r="AA31" t="e">
        <f>IF(Z31&gt;=AE14,"89/121/185",IF(Z31&gt;=AE13,"89/121",IF(Z31&gt;=AE12,"89","nelze")))</f>
        <v>#N/A</v>
      </c>
      <c r="AB31" t="e">
        <f>VLOOKUP(AA31,$AF$5:$AG$7,2,0)</f>
        <v>#N/A</v>
      </c>
      <c r="AD31" t="s">
        <v>482</v>
      </c>
      <c r="AG31">
        <f>IF(L19=1,(L14-L16),0)</f>
        <v>0</v>
      </c>
      <c r="AJ31" t="str">
        <f>_xlfn.CONCAT($AH$27,"_",$AI$27,"_",H31,"_",$L$18)</f>
        <v>chyba_chyba__</v>
      </c>
    </row>
    <row r="32" spans="1:36" x14ac:dyDescent="0.25">
      <c r="AD32" t="s">
        <v>483</v>
      </c>
      <c r="AG32">
        <f>IF(L21="ano",L22, 0)</f>
        <v>0</v>
      </c>
    </row>
    <row r="33" spans="2:33" x14ac:dyDescent="0.25">
      <c r="B33" s="5" t="str">
        <f>Překlady!C70</f>
        <v>Megjegyzés: balról jobbra haladva töltse ki</v>
      </c>
    </row>
    <row r="34" spans="2:33" ht="15" customHeight="1" x14ac:dyDescent="0.25">
      <c r="B34" s="5" t="str">
        <f>Překlady!C71</f>
        <v>Megjegyzés: ha változtat, töltsön ki mindent újra, különben az űrlap hibás adatokkal fog dolgozni</v>
      </c>
      <c r="D34" s="2"/>
      <c r="Y34" t="s">
        <v>484</v>
      </c>
      <c r="Z34" s="2">
        <f>L9-L14-L16</f>
        <v>0</v>
      </c>
      <c r="AC34" t="s">
        <v>70</v>
      </c>
      <c r="AD34" t="s">
        <v>73</v>
      </c>
      <c r="AE34" t="s">
        <v>76</v>
      </c>
      <c r="AF34" t="s">
        <v>79</v>
      </c>
      <c r="AG34" t="s">
        <v>82</v>
      </c>
    </row>
    <row r="35" spans="2:33" ht="15" customHeight="1" x14ac:dyDescent="0.25">
      <c r="Y35" t="s">
        <v>485</v>
      </c>
      <c r="Z35" s="2">
        <f>D31</f>
        <v>0</v>
      </c>
      <c r="AB35">
        <v>1</v>
      </c>
      <c r="AC35" t="s">
        <v>484</v>
      </c>
    </row>
    <row r="36" spans="2:33" ht="15" customHeight="1" x14ac:dyDescent="0.25">
      <c r="Y36" t="s">
        <v>486</v>
      </c>
      <c r="Z36" s="2">
        <f>D30</f>
        <v>0</v>
      </c>
      <c r="AB36">
        <v>2</v>
      </c>
      <c r="AC36" t="s">
        <v>485</v>
      </c>
      <c r="AD36" t="s">
        <v>487</v>
      </c>
    </row>
    <row r="37" spans="2:33" ht="18.75" customHeight="1" x14ac:dyDescent="0.25">
      <c r="B37" s="333" t="str">
        <f>Překlady!C52</f>
        <v>Vissza</v>
      </c>
      <c r="C37" s="333"/>
      <c r="D37" s="333"/>
      <c r="Y37" t="s">
        <v>488</v>
      </c>
      <c r="Z37" s="2">
        <f>D29</f>
        <v>0</v>
      </c>
      <c r="AB37">
        <v>3</v>
      </c>
      <c r="AC37" t="s">
        <v>485</v>
      </c>
      <c r="AD37" t="s">
        <v>486</v>
      </c>
      <c r="AE37" t="s">
        <v>487</v>
      </c>
    </row>
    <row r="38" spans="2:33" ht="18.75" customHeight="1" x14ac:dyDescent="0.25">
      <c r="B38" s="333"/>
      <c r="C38" s="333"/>
      <c r="D38" s="333"/>
      <c r="Y38" t="s">
        <v>489</v>
      </c>
      <c r="Z38" s="2">
        <f>D28</f>
        <v>0</v>
      </c>
      <c r="AB38">
        <v>4</v>
      </c>
      <c r="AC38" t="s">
        <v>485</v>
      </c>
      <c r="AD38" t="s">
        <v>486</v>
      </c>
      <c r="AE38" t="s">
        <v>488</v>
      </c>
      <c r="AF38" t="s">
        <v>487</v>
      </c>
    </row>
    <row r="39" spans="2:33" x14ac:dyDescent="0.25">
      <c r="Y39" t="s">
        <v>487</v>
      </c>
      <c r="Z39" s="2">
        <f>Z40-(L12-L14)</f>
        <v>0</v>
      </c>
      <c r="AB39">
        <v>5</v>
      </c>
      <c r="AC39" t="s">
        <v>485</v>
      </c>
      <c r="AD39" t="s">
        <v>486</v>
      </c>
      <c r="AE39" t="s">
        <v>488</v>
      </c>
      <c r="AF39" t="s">
        <v>489</v>
      </c>
      <c r="AG39" t="s">
        <v>487</v>
      </c>
    </row>
    <row r="40" spans="2:33" x14ac:dyDescent="0.25">
      <c r="G40" s="21"/>
      <c r="Z40">
        <f>IF(L19=2,D30,(IF(L19=3,D29,(IF(L19=4,D28,D27)))))</f>
        <v>0</v>
      </c>
    </row>
    <row r="42" spans="2:33" ht="18.75" x14ac:dyDescent="0.3">
      <c r="B42" s="37" t="str">
        <f>Překlady!C36</f>
        <v>A korpusz oldalának fúrása</v>
      </c>
    </row>
    <row r="44" spans="2:33" ht="15" customHeight="1" x14ac:dyDescent="0.25">
      <c r="M44" s="8"/>
      <c r="P44" s="119"/>
      <c r="Q44" s="329" t="str">
        <f>Překlady!$C$96</f>
        <v>Előlapok méretre vágása</v>
      </c>
      <c r="R44" s="329"/>
      <c r="S44" s="329"/>
      <c r="T44" s="317" t="str">
        <f>Překlady!C58</f>
        <v>Hátsó vágás</v>
      </c>
      <c r="U44" s="318"/>
      <c r="V44" s="319"/>
    </row>
    <row r="45" spans="2:33" x14ac:dyDescent="0.25">
      <c r="E45" s="35"/>
      <c r="F45" s="35"/>
      <c r="G45" s="35"/>
      <c r="H45" s="94"/>
      <c r="I45" s="35"/>
      <c r="J45" s="35"/>
      <c r="K45" s="35"/>
      <c r="L45" s="35"/>
      <c r="M45" s="8"/>
      <c r="P45" s="137" t="str">
        <f>IF($L$19=5,Překlady!C26, " ")</f>
        <v xml:space="preserve"> </v>
      </c>
      <c r="Q45" s="320" t="str">
        <f>IF($L$19=5,$L$10-(2*$L$17)&amp;" x "&amp;D27-$L$22&amp;" mm","")</f>
        <v/>
      </c>
      <c r="R45" s="320"/>
      <c r="S45" s="320"/>
      <c r="T45" s="314" t="str">
        <f>IF($L$19=5,$L$10-(2*$L$13)-14.5&amp;" x "&amp;VLOOKUP(H27,$AB$6:$AC$9,2,0)&amp;" mm","")</f>
        <v/>
      </c>
      <c r="U45" s="315"/>
      <c r="V45" s="316"/>
    </row>
    <row r="46" spans="2:33" x14ac:dyDescent="0.25">
      <c r="E46" s="95"/>
      <c r="F46" s="95"/>
      <c r="G46" s="35"/>
      <c r="H46" s="96"/>
      <c r="I46" s="96"/>
      <c r="J46" s="96"/>
      <c r="K46" s="96"/>
      <c r="L46" s="96"/>
      <c r="M46" s="8"/>
      <c r="P46" s="138" t="str">
        <f>IF(AND($L$19&gt;3, $L$19&lt;6),Překlady!C25, " ")</f>
        <v xml:space="preserve"> </v>
      </c>
      <c r="Q46" s="320" t="str">
        <f>IF($L$19&gt;3,$L$10-(2*$L$17)&amp;" x "&amp;D28-$L$22&amp;" mm","")</f>
        <v/>
      </c>
      <c r="R46" s="320"/>
      <c r="S46" s="320"/>
      <c r="T46" s="314" t="str">
        <f>IF($L$19&gt;3,$L$10-(2*$L$13)-14.5&amp;" x "&amp;VLOOKUP(H28,$AB$6:$AC$9,2,0)&amp;" mm","")</f>
        <v/>
      </c>
      <c r="U46" s="315"/>
      <c r="V46" s="316"/>
    </row>
    <row r="47" spans="2:33" x14ac:dyDescent="0.25">
      <c r="B47" s="335" t="str">
        <f>IF(L19=5,B51+D28+$L$15,"")</f>
        <v/>
      </c>
      <c r="E47" s="95"/>
      <c r="F47" s="95"/>
      <c r="G47" s="35"/>
      <c r="H47" s="96"/>
      <c r="I47" s="96"/>
      <c r="J47" s="96"/>
      <c r="K47" s="96"/>
      <c r="L47" s="96"/>
      <c r="M47" s="8"/>
      <c r="P47" s="139" t="str">
        <f>IF(AND($L$19&gt;2, $L$19&lt;6),Překlady!C24, " ")</f>
        <v xml:space="preserve"> </v>
      </c>
      <c r="Q47" s="320" t="str">
        <f>IF(L$19&gt;2,$L$10-(2*$L$17)&amp;" x "&amp;D29-$L$22&amp;" mm","")</f>
        <v/>
      </c>
      <c r="R47" s="320"/>
      <c r="S47" s="320"/>
      <c r="T47" s="314" t="str">
        <f>IF($L$19&gt;2,$L$10-(2*$L$13)-14.5&amp;" x "&amp;VLOOKUP(H29,$AB$6:$AC$9,2,0)&amp;" mm","")</f>
        <v/>
      </c>
      <c r="U47" s="315"/>
      <c r="V47" s="316"/>
    </row>
    <row r="48" spans="2:33" ht="15" customHeight="1" x14ac:dyDescent="0.3">
      <c r="B48" s="335"/>
      <c r="D48" s="6"/>
      <c r="E48" s="94"/>
      <c r="F48" s="94"/>
      <c r="G48" s="35"/>
      <c r="H48" s="97"/>
      <c r="I48" s="35"/>
      <c r="J48" s="35"/>
      <c r="K48" s="35"/>
      <c r="L48" s="35"/>
      <c r="M48" s="8"/>
      <c r="P48" s="138" t="str">
        <f>IF($L$19&gt;1,Překlady!C23, " ")</f>
        <v xml:space="preserve"> </v>
      </c>
      <c r="Q48" s="320" t="str">
        <f>IF($L$19&gt;1,$L$10-(2*$L$17)&amp;" x "&amp;D30-$L$22&amp;" mm","")</f>
        <v/>
      </c>
      <c r="R48" s="320"/>
      <c r="S48" s="320"/>
      <c r="T48" s="314" t="str">
        <f>IF($L$19&gt;0,$L$10-(2*$L$13)-14.5&amp;" x "&amp;VLOOKUP(H30,$AB$6:$AC$9,2,0)&amp;" mm","")</f>
        <v/>
      </c>
      <c r="U48" s="315"/>
      <c r="V48" s="316"/>
    </row>
    <row r="49" spans="1:22" x14ac:dyDescent="0.25">
      <c r="A49" s="125"/>
      <c r="B49" s="92"/>
      <c r="D49" s="6"/>
      <c r="E49" s="94"/>
      <c r="F49" s="94"/>
      <c r="G49" s="35"/>
      <c r="H49" s="35"/>
      <c r="I49" s="35"/>
      <c r="J49" s="35"/>
      <c r="K49" s="35"/>
      <c r="L49" s="35"/>
      <c r="P49" s="138" t="str">
        <f>IF($L$19&gt;0,Překlady!C22, " ")</f>
        <v xml:space="preserve"> </v>
      </c>
      <c r="Q49" s="320" t="str">
        <f>IF($L$19&gt;0,$L$10-(2*$L$17)&amp;" x "&amp;D31-$L$22&amp;" mm","")</f>
        <v/>
      </c>
      <c r="R49" s="320"/>
      <c r="S49" s="320"/>
      <c r="T49" s="314" t="str">
        <f>IF($L$19&gt;0,$L$10-(2*$L$13)-14.5&amp;" x "&amp;VLOOKUP(H31,$AB$6:$AC$9,2,0)&amp;" mm","")</f>
        <v/>
      </c>
      <c r="U49" s="315"/>
      <c r="V49" s="316"/>
    </row>
    <row r="50" spans="1:22" ht="15" customHeight="1" x14ac:dyDescent="0.25">
      <c r="A50" s="125"/>
      <c r="B50" s="6"/>
      <c r="D50" s="6"/>
      <c r="E50" s="95"/>
      <c r="F50" s="95"/>
      <c r="G50" s="35"/>
      <c r="H50" s="96"/>
      <c r="I50" s="96"/>
      <c r="J50" s="96"/>
      <c r="K50" s="96"/>
      <c r="L50" s="96"/>
    </row>
    <row r="51" spans="1:22" ht="15" customHeight="1" x14ac:dyDescent="0.25">
      <c r="A51" s="125"/>
      <c r="B51" s="267" t="str">
        <f>IF(L19&gt;3,B55+D29+L15,"")</f>
        <v/>
      </c>
      <c r="D51" s="6"/>
      <c r="E51" s="95"/>
      <c r="F51" s="95"/>
      <c r="G51" s="35"/>
      <c r="H51" s="96"/>
      <c r="I51" s="96"/>
      <c r="J51" s="96"/>
      <c r="K51" s="96"/>
      <c r="L51" s="96"/>
      <c r="P51" s="287" t="str">
        <f>Překlady!$C$60</f>
        <v>( a helyes számításhoz a fenti táblázatban található oldalfalmagasságot kell kiválasztani)</v>
      </c>
      <c r="Q51" s="287"/>
      <c r="R51" s="287"/>
      <c r="S51" s="287"/>
      <c r="T51" s="287"/>
      <c r="U51" s="287"/>
      <c r="V51" s="287"/>
    </row>
    <row r="52" spans="1:22" ht="21" customHeight="1" x14ac:dyDescent="0.25">
      <c r="A52" s="313" t="str">
        <f>Překlady!$C$38</f>
        <v>A furatok magassága a korpusz aljától számítva</v>
      </c>
      <c r="B52" s="267"/>
      <c r="D52" s="127"/>
      <c r="E52" s="94"/>
      <c r="F52" s="94"/>
      <c r="G52" s="35"/>
      <c r="H52" s="35"/>
      <c r="I52" s="35"/>
      <c r="J52" s="35"/>
      <c r="K52" s="35"/>
      <c r="L52" s="35"/>
      <c r="M52" s="126"/>
      <c r="P52" s="287"/>
      <c r="Q52" s="287"/>
      <c r="R52" s="287"/>
      <c r="S52" s="287"/>
      <c r="T52" s="287"/>
      <c r="U52" s="287"/>
      <c r="V52" s="287"/>
    </row>
    <row r="53" spans="1:22" x14ac:dyDescent="0.25">
      <c r="A53" s="313"/>
      <c r="B53" s="140"/>
      <c r="D53" s="127"/>
      <c r="E53" s="94"/>
      <c r="F53" s="94"/>
      <c r="G53" s="35"/>
      <c r="H53" s="35"/>
      <c r="I53" s="35"/>
      <c r="J53" s="35"/>
      <c r="K53" s="35"/>
      <c r="L53" s="35"/>
      <c r="M53" s="126"/>
    </row>
    <row r="54" spans="1:22" ht="15" customHeight="1" x14ac:dyDescent="0.25">
      <c r="A54" s="313"/>
      <c r="B54" s="6"/>
      <c r="D54" s="127"/>
      <c r="E54" s="95"/>
      <c r="F54" s="95"/>
      <c r="G54" s="35"/>
      <c r="H54" s="96"/>
      <c r="I54" s="96"/>
      <c r="J54" s="35"/>
      <c r="K54" s="96"/>
      <c r="L54" s="96"/>
      <c r="M54" s="126"/>
      <c r="P54" s="72"/>
      <c r="Q54" s="72"/>
      <c r="R54" s="72"/>
      <c r="S54" s="72"/>
      <c r="T54" s="72"/>
      <c r="U54" s="72"/>
      <c r="V54" s="72"/>
    </row>
    <row r="55" spans="1:22" ht="18.75" customHeight="1" x14ac:dyDescent="0.25">
      <c r="A55" s="313"/>
      <c r="B55" s="267" t="str">
        <f>IF(L19&gt;2,B59+D30+L15,"")</f>
        <v/>
      </c>
      <c r="D55" s="127"/>
      <c r="E55" s="95"/>
      <c r="F55" s="95"/>
      <c r="G55" s="35"/>
      <c r="H55" s="96"/>
      <c r="I55" s="96"/>
      <c r="J55" s="35"/>
      <c r="K55" s="96"/>
      <c r="L55" s="96"/>
      <c r="M55" s="126"/>
      <c r="P55" s="72"/>
      <c r="Q55" s="72"/>
      <c r="R55" s="72"/>
      <c r="S55" s="72"/>
      <c r="T55" s="72"/>
      <c r="U55" s="72"/>
      <c r="V55" s="72"/>
    </row>
    <row r="56" spans="1:22" ht="15.75" customHeight="1" x14ac:dyDescent="0.3">
      <c r="A56" s="313"/>
      <c r="B56" s="267"/>
      <c r="D56" s="127"/>
      <c r="E56" s="95"/>
      <c r="F56" s="95"/>
      <c r="G56" s="35"/>
      <c r="H56" s="96"/>
      <c r="I56" s="96"/>
      <c r="J56" s="35"/>
      <c r="K56" s="96"/>
      <c r="L56" s="96"/>
      <c r="M56" s="126"/>
      <c r="P56" s="55" t="str">
        <f>Překlady!C59</f>
        <v>Alsó vágás:</v>
      </c>
      <c r="Q56" s="72"/>
      <c r="R56" s="72"/>
      <c r="S56" s="72"/>
      <c r="T56" s="72"/>
      <c r="U56" s="72"/>
      <c r="V56" s="72"/>
    </row>
    <row r="57" spans="1:22" x14ac:dyDescent="0.25">
      <c r="A57" s="313"/>
      <c r="B57" s="140"/>
      <c r="D57" s="127"/>
      <c r="E57" s="94"/>
      <c r="F57" s="94"/>
      <c r="G57" s="35"/>
      <c r="H57" s="35"/>
      <c r="I57" s="35"/>
      <c r="J57" s="35"/>
      <c r="K57" s="35"/>
      <c r="L57" s="35"/>
      <c r="M57" s="126"/>
    </row>
    <row r="58" spans="1:22" x14ac:dyDescent="0.25">
      <c r="A58" s="313"/>
      <c r="B58" s="6"/>
      <c r="C58" s="89"/>
      <c r="D58" s="128"/>
      <c r="E58" s="98"/>
      <c r="F58" s="99"/>
      <c r="G58" s="100"/>
      <c r="H58" s="98"/>
      <c r="I58" s="99"/>
      <c r="J58" s="100"/>
      <c r="K58" s="98"/>
      <c r="L58" s="99"/>
      <c r="M58" s="126"/>
      <c r="P58" t="str">
        <f>IF(L18&gt;0,(L10-(2*L13)-14.5&amp;" x "&amp;L18-20&amp;" mm"),"")</f>
        <v/>
      </c>
    </row>
    <row r="59" spans="1:22" ht="18" customHeight="1" x14ac:dyDescent="0.25">
      <c r="A59" s="313"/>
      <c r="B59" s="267" t="str">
        <f>IF(D31&gt;0,D31-($L$12+$L$16)+L15+AC15+36,"")</f>
        <v/>
      </c>
      <c r="D59" s="127"/>
      <c r="E59" s="101"/>
      <c r="F59" s="102"/>
      <c r="G59" s="35"/>
      <c r="H59" s="101"/>
      <c r="I59" s="102"/>
      <c r="J59" s="35"/>
      <c r="K59" s="101"/>
      <c r="L59" s="102"/>
      <c r="M59" s="126"/>
    </row>
    <row r="60" spans="1:22" ht="15" customHeight="1" x14ac:dyDescent="0.25">
      <c r="A60" s="313"/>
      <c r="B60" s="267"/>
      <c r="D60" s="127"/>
      <c r="E60" s="103"/>
      <c r="F60" s="94"/>
      <c r="G60" s="35"/>
      <c r="H60" s="103"/>
      <c r="I60" s="35"/>
      <c r="J60" s="35"/>
      <c r="K60" s="103"/>
      <c r="L60" s="96"/>
      <c r="M60" s="126"/>
    </row>
    <row r="61" spans="1:22" x14ac:dyDescent="0.25">
      <c r="A61" s="313"/>
      <c r="B61" s="141"/>
      <c r="D61" s="127"/>
      <c r="E61" s="103"/>
      <c r="F61" s="94"/>
      <c r="G61" s="35"/>
      <c r="H61" s="103"/>
      <c r="I61" s="35"/>
      <c r="J61" s="35"/>
      <c r="K61" s="103"/>
      <c r="L61" s="96"/>
      <c r="M61" s="126"/>
    </row>
    <row r="62" spans="1:22" ht="18" customHeight="1" x14ac:dyDescent="0.3">
      <c r="A62" s="313"/>
      <c r="B62" s="123"/>
      <c r="C62" s="89"/>
      <c r="D62" s="128"/>
      <c r="E62" s="98"/>
      <c r="F62" s="99"/>
      <c r="G62" s="100"/>
      <c r="H62" s="98"/>
      <c r="I62" s="99"/>
      <c r="J62" s="100"/>
      <c r="K62" s="98"/>
      <c r="L62" s="99"/>
      <c r="M62" s="126"/>
      <c r="P62" s="38"/>
    </row>
    <row r="63" spans="1:22" ht="18" customHeight="1" x14ac:dyDescent="0.25">
      <c r="A63" s="313"/>
      <c r="B63" s="142" t="str">
        <f>IF(D31&gt;0,36,"")</f>
        <v/>
      </c>
      <c r="D63" s="127"/>
      <c r="E63" s="101"/>
      <c r="F63" s="102"/>
      <c r="G63" s="35"/>
      <c r="H63" s="101"/>
      <c r="I63" s="102"/>
      <c r="J63" s="35"/>
      <c r="K63" s="101"/>
      <c r="L63" s="102"/>
      <c r="M63" s="126"/>
      <c r="P63" s="40"/>
    </row>
    <row r="64" spans="1:22" ht="28.5" customHeight="1" thickBot="1" x14ac:dyDescent="0.35">
      <c r="A64" s="313"/>
      <c r="B64" s="217"/>
      <c r="C64" s="126"/>
      <c r="D64" s="220"/>
      <c r="E64" s="221"/>
      <c r="F64" s="222"/>
      <c r="G64" s="223"/>
      <c r="H64" s="221"/>
      <c r="I64" s="222"/>
      <c r="J64" s="223"/>
      <c r="K64" s="221"/>
      <c r="L64" s="222"/>
      <c r="M64" s="224"/>
      <c r="P64" s="38"/>
      <c r="R64" s="72"/>
      <c r="S64" s="72"/>
    </row>
    <row r="65" spans="1:23" ht="18.75" customHeight="1" thickTop="1" x14ac:dyDescent="0.3">
      <c r="B65" s="6"/>
      <c r="D65" s="311">
        <v>37</v>
      </c>
      <c r="E65" s="312"/>
      <c r="F65" s="6"/>
      <c r="H65" s="91"/>
      <c r="I65" s="6"/>
      <c r="K65" s="91"/>
      <c r="L65" s="6"/>
      <c r="P65" s="38"/>
    </row>
    <row r="66" spans="1:23" x14ac:dyDescent="0.25">
      <c r="B66" s="6"/>
      <c r="D66" s="191"/>
      <c r="E66" s="42"/>
      <c r="F66" s="5">
        <f>IF(OR(L18=270,L18=300,L18=350),197,IF(L18=400,229,IF(L18=550,"",IF(L18=450,261,293))))</f>
        <v>293</v>
      </c>
      <c r="G66" s="121"/>
      <c r="H66" s="136"/>
      <c r="J66" s="68"/>
      <c r="K66" s="136"/>
      <c r="L66" s="124"/>
    </row>
    <row r="67" spans="1:23" ht="18.75" customHeight="1" x14ac:dyDescent="0.35">
      <c r="D67" s="191"/>
      <c r="E67" s="201"/>
      <c r="G67" s="122"/>
      <c r="I67" s="122">
        <f>IF(OR(L18=270,L18=300,L18=350),229,IF(L18=400,261,IF(L18=450,293,325)))</f>
        <v>325</v>
      </c>
      <c r="J67" s="122"/>
      <c r="K67" s="136"/>
      <c r="L67" s="68"/>
      <c r="M67" s="68"/>
    </row>
    <row r="68" spans="1:23" x14ac:dyDescent="0.25">
      <c r="D68" s="56"/>
      <c r="E68" s="56"/>
      <c r="G68" s="90"/>
      <c r="H68" s="56"/>
      <c r="J68" s="92"/>
    </row>
    <row r="69" spans="1:23" ht="21" x14ac:dyDescent="0.35">
      <c r="A69" s="5"/>
      <c r="B69" s="37"/>
      <c r="D69" s="5"/>
      <c r="E69" s="5"/>
      <c r="F69" s="5"/>
      <c r="G69" s="5"/>
      <c r="H69" s="5"/>
      <c r="I69" s="5"/>
      <c r="P69" s="37"/>
      <c r="Q69" s="63"/>
      <c r="R69" s="5"/>
      <c r="S69" s="5"/>
      <c r="T69" s="5"/>
      <c r="U69" s="5"/>
      <c r="V69" s="5"/>
      <c r="W69" s="5"/>
    </row>
    <row r="70" spans="1:23" x14ac:dyDescent="0.25">
      <c r="A70" s="5"/>
      <c r="B70" s="5"/>
      <c r="C70" s="5"/>
      <c r="D70" s="5"/>
      <c r="E70" s="5"/>
      <c r="F70" s="5"/>
      <c r="G70" s="5"/>
      <c r="H70" s="5"/>
      <c r="I70" s="5"/>
      <c r="P70" s="5"/>
      <c r="Q70" s="5"/>
      <c r="R70" s="5"/>
      <c r="S70" s="5"/>
      <c r="T70" s="5"/>
      <c r="U70" s="5"/>
      <c r="V70" s="5"/>
      <c r="W70" s="5"/>
    </row>
    <row r="71" spans="1:23" ht="20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P71" s="5"/>
      <c r="Q71" s="5"/>
      <c r="R71" s="5"/>
      <c r="S71" s="5"/>
      <c r="T71" s="5"/>
      <c r="U71" s="5"/>
      <c r="V71" s="5"/>
      <c r="W71" s="5"/>
    </row>
    <row r="72" spans="1:23" ht="20.25" customHeight="1" x14ac:dyDescent="0.35">
      <c r="A72" s="5"/>
      <c r="B72" s="37" t="str">
        <f>Překlady!C61</f>
        <v>Az első fiók frontfurata</v>
      </c>
      <c r="C72" s="5"/>
      <c r="F72" s="5"/>
      <c r="G72" s="5"/>
      <c r="H72" s="5"/>
      <c r="I72" s="5"/>
      <c r="N72" s="37" t="str">
        <f>Překlady!C62</f>
        <v>A második fiók frontfurata</v>
      </c>
      <c r="P72" s="63"/>
      <c r="Q72" s="5"/>
      <c r="R72" s="5"/>
      <c r="S72" s="5"/>
      <c r="T72" s="5"/>
    </row>
    <row r="73" spans="1:23" ht="20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M73" s="5"/>
      <c r="N73" s="5"/>
      <c r="O73" s="5"/>
      <c r="P73" s="5"/>
      <c r="Q73" s="5"/>
      <c r="R73" s="5"/>
      <c r="S73" s="5"/>
      <c r="T73" s="5"/>
      <c r="U73" s="5"/>
    </row>
    <row r="74" spans="1:23" ht="20.25" customHeight="1" x14ac:dyDescent="0.25">
      <c r="A74" s="5"/>
      <c r="B74" s="43"/>
      <c r="C74" s="5"/>
      <c r="D74" s="5"/>
      <c r="E74" s="5"/>
      <c r="F74" s="5"/>
      <c r="G74" s="5"/>
      <c r="H74" s="5"/>
      <c r="I74" s="5"/>
      <c r="M74" s="5"/>
      <c r="N74" s="43"/>
      <c r="O74" s="5"/>
      <c r="P74" s="5"/>
      <c r="Q74" s="5"/>
      <c r="R74" s="5"/>
      <c r="S74" s="5"/>
      <c r="T74" s="5"/>
      <c r="U74" s="5"/>
    </row>
    <row r="75" spans="1:23" ht="20.25" customHeight="1" x14ac:dyDescent="0.25">
      <c r="A75" s="5"/>
      <c r="B75" s="43"/>
      <c r="D75" s="6"/>
      <c r="F75" s="5"/>
      <c r="G75" s="5"/>
      <c r="H75" s="5"/>
      <c r="M75" s="5"/>
      <c r="N75" s="43"/>
      <c r="P75" s="6"/>
      <c r="R75" s="5"/>
      <c r="S75" s="5"/>
      <c r="T75" s="5"/>
    </row>
    <row r="76" spans="1:23" ht="20.25" customHeight="1" x14ac:dyDescent="0.25">
      <c r="A76" s="5"/>
      <c r="B76" s="49" t="str">
        <f>IF(H31=185,16,"")</f>
        <v/>
      </c>
      <c r="D76" s="6"/>
      <c r="F76" s="5"/>
      <c r="G76" s="5"/>
      <c r="H76" s="5"/>
      <c r="K76" s="120"/>
      <c r="M76" s="5"/>
      <c r="N76" s="49" t="str">
        <f>IF($H$30=185,16,"")</f>
        <v/>
      </c>
      <c r="P76" s="6"/>
      <c r="R76" s="5"/>
      <c r="S76" s="5"/>
      <c r="T76" s="5"/>
      <c r="W76" s="120"/>
    </row>
    <row r="77" spans="1:23" ht="20.25" customHeight="1" x14ac:dyDescent="0.25">
      <c r="A77" s="5"/>
      <c r="B77" s="118"/>
      <c r="D77" s="6"/>
      <c r="F77" s="5"/>
      <c r="G77" s="5"/>
      <c r="H77" s="5"/>
      <c r="M77" s="43"/>
      <c r="N77" s="118"/>
      <c r="P77" s="6"/>
      <c r="R77" s="5"/>
      <c r="S77" s="5"/>
      <c r="T77" s="5"/>
    </row>
    <row r="78" spans="1:23" ht="20.25" customHeight="1" x14ac:dyDescent="0.25">
      <c r="A78" s="5"/>
      <c r="B78" s="49" t="str">
        <f>IF(H31=185,16,"")</f>
        <v/>
      </c>
      <c r="D78" s="6"/>
      <c r="F78" s="5"/>
      <c r="G78" s="5"/>
      <c r="H78" s="5"/>
      <c r="M78" s="43" t="str">
        <f>IF(AND(L19&gt;2,H30&gt;0),IF(H30=249,"32",""),"")</f>
        <v/>
      </c>
      <c r="N78" s="49" t="str">
        <f>IF($H$30=185,16,"")</f>
        <v/>
      </c>
      <c r="P78" s="6"/>
      <c r="R78" s="5"/>
      <c r="S78" s="5"/>
      <c r="T78" s="5"/>
    </row>
    <row r="79" spans="1:23" ht="20.25" customHeight="1" x14ac:dyDescent="0.25">
      <c r="A79" s="5"/>
      <c r="B79" s="43"/>
      <c r="D79" s="6"/>
      <c r="F79" s="5"/>
      <c r="G79" s="5"/>
      <c r="H79" s="5"/>
      <c r="M79" s="44"/>
      <c r="N79" s="43"/>
      <c r="P79" s="6"/>
      <c r="R79" s="5"/>
      <c r="S79" s="5"/>
      <c r="T79" s="5"/>
    </row>
    <row r="80" spans="1:23" ht="20.25" customHeight="1" x14ac:dyDescent="0.25">
      <c r="A80" s="5"/>
      <c r="B80" s="46" t="str">
        <f>IF(H31=185,64,"")</f>
        <v/>
      </c>
      <c r="D80" s="6"/>
      <c r="F80" s="5"/>
      <c r="G80" s="5"/>
      <c r="H80" s="5"/>
      <c r="K80" s="120"/>
      <c r="M80" s="43"/>
      <c r="N80" s="46" t="str">
        <f>IF($H$30=185,64,"")</f>
        <v/>
      </c>
      <c r="P80" s="6"/>
      <c r="R80" s="5"/>
      <c r="S80" s="5"/>
      <c r="T80" s="5"/>
      <c r="W80" s="120"/>
    </row>
    <row r="81" spans="1:26" ht="20.25" customHeight="1" x14ac:dyDescent="0.25">
      <c r="A81" s="5"/>
      <c r="C81" s="5"/>
      <c r="D81" s="5"/>
      <c r="F81" s="5"/>
      <c r="G81" s="5"/>
      <c r="H81" s="5"/>
      <c r="M81" s="45"/>
      <c r="O81" s="5"/>
      <c r="P81" s="5"/>
      <c r="R81" s="5"/>
      <c r="S81" s="5"/>
      <c r="T81" s="5"/>
    </row>
    <row r="82" spans="1:26" ht="20.25" customHeight="1" x14ac:dyDescent="0.25">
      <c r="A82" s="5"/>
      <c r="B82" s="46"/>
      <c r="C82" s="5"/>
      <c r="D82" s="5"/>
      <c r="E82" s="5"/>
      <c r="F82" s="5"/>
      <c r="G82" s="5"/>
      <c r="H82" s="5"/>
      <c r="M82" s="46"/>
      <c r="N82" s="46"/>
      <c r="O82" s="5"/>
      <c r="P82" s="5"/>
      <c r="Q82" s="5"/>
      <c r="R82" s="5"/>
      <c r="S82" s="5"/>
      <c r="T82" s="5"/>
    </row>
    <row r="83" spans="1:26" ht="20.25" customHeight="1" x14ac:dyDescent="0.25">
      <c r="A83" s="5"/>
      <c r="B83" s="43"/>
      <c r="C83" s="5"/>
      <c r="D83" s="113"/>
      <c r="E83" s="5"/>
      <c r="F83" s="5"/>
      <c r="G83" s="5"/>
      <c r="H83" s="5"/>
      <c r="K83" s="120"/>
      <c r="M83" s="47"/>
      <c r="N83" s="43"/>
      <c r="O83" s="5"/>
      <c r="P83" s="113"/>
      <c r="Q83" s="5"/>
      <c r="R83" s="5"/>
      <c r="S83" s="5"/>
      <c r="T83" s="5"/>
      <c r="W83" s="120"/>
      <c r="X83" s="4"/>
    </row>
    <row r="84" spans="1:26" ht="20.25" customHeight="1" x14ac:dyDescent="0.25">
      <c r="A84" s="5"/>
      <c r="B84" s="43"/>
      <c r="C84" s="107"/>
      <c r="D84" s="130"/>
      <c r="E84" s="89"/>
      <c r="F84" s="107"/>
      <c r="G84" s="108"/>
      <c r="H84" s="109"/>
      <c r="M84" s="48"/>
      <c r="N84" s="43"/>
      <c r="O84" s="107"/>
      <c r="P84" s="130"/>
      <c r="Q84" s="89"/>
      <c r="R84" s="107"/>
      <c r="S84" s="108"/>
      <c r="T84" s="109"/>
      <c r="X84" s="26"/>
      <c r="Z84" s="2"/>
    </row>
    <row r="85" spans="1:26" ht="20.25" customHeight="1" x14ac:dyDescent="0.25">
      <c r="A85" s="5"/>
      <c r="B85" s="133">
        <v>16</v>
      </c>
      <c r="C85" s="5"/>
      <c r="D85" s="113"/>
      <c r="F85" s="5"/>
      <c r="G85" s="112"/>
      <c r="H85" s="113"/>
      <c r="M85" s="44"/>
      <c r="N85" s="133">
        <v>16</v>
      </c>
      <c r="O85" s="5"/>
      <c r="P85" s="113"/>
      <c r="R85" s="5"/>
      <c r="S85" s="112"/>
      <c r="T85" s="113"/>
      <c r="Z85" s="2"/>
    </row>
    <row r="86" spans="1:26" ht="20.25" customHeight="1" x14ac:dyDescent="0.25">
      <c r="A86" s="5"/>
      <c r="B86" s="134"/>
      <c r="C86" s="107"/>
      <c r="D86" s="130"/>
      <c r="E86" s="114"/>
      <c r="F86" s="109"/>
      <c r="G86" s="108"/>
      <c r="H86" s="109"/>
      <c r="K86" s="120"/>
      <c r="M86" s="43"/>
      <c r="N86" s="134"/>
      <c r="O86" s="107"/>
      <c r="P86" s="130"/>
      <c r="Q86" s="114"/>
      <c r="R86" s="109"/>
      <c r="S86" s="108"/>
      <c r="T86" s="109"/>
      <c r="W86" s="120"/>
      <c r="Z86" s="2"/>
    </row>
    <row r="87" spans="1:26" ht="20.25" customHeight="1" x14ac:dyDescent="0.25">
      <c r="A87" s="5"/>
      <c r="B87" s="133">
        <v>16</v>
      </c>
      <c r="C87" s="5"/>
      <c r="D87" s="113"/>
      <c r="E87" s="31"/>
      <c r="F87" s="111"/>
      <c r="G87" s="110"/>
      <c r="H87" s="111"/>
      <c r="M87" s="43"/>
      <c r="N87" s="133">
        <v>16</v>
      </c>
      <c r="O87" s="5"/>
      <c r="P87" s="113"/>
      <c r="Q87" s="31"/>
      <c r="R87" s="111"/>
      <c r="S87" s="110"/>
      <c r="T87" s="111"/>
      <c r="Z87" s="2"/>
    </row>
    <row r="88" spans="1:26" ht="20.25" customHeight="1" x14ac:dyDescent="0.25">
      <c r="A88" s="5"/>
      <c r="B88" s="134"/>
      <c r="C88" s="107"/>
      <c r="D88" s="130"/>
      <c r="E88" s="93"/>
      <c r="F88" s="107"/>
      <c r="G88" s="108"/>
      <c r="H88" s="109"/>
      <c r="M88" s="43"/>
      <c r="N88" s="134"/>
      <c r="O88" s="107"/>
      <c r="P88" s="130"/>
      <c r="Q88" s="93"/>
      <c r="R88" s="107"/>
      <c r="S88" s="108"/>
      <c r="T88" s="109"/>
    </row>
    <row r="89" spans="1:26" ht="20.25" customHeight="1" x14ac:dyDescent="0.25">
      <c r="A89" s="5"/>
      <c r="B89" s="47">
        <f>56+L12-L16</f>
        <v>56</v>
      </c>
      <c r="C89" s="5"/>
      <c r="D89" s="113"/>
      <c r="E89" s="104"/>
      <c r="F89" s="5"/>
      <c r="G89" s="112"/>
      <c r="H89" s="113"/>
      <c r="M89" s="43"/>
      <c r="N89" s="47">
        <f>56+AC15</f>
        <v>61</v>
      </c>
      <c r="O89" s="5"/>
      <c r="P89" s="113"/>
      <c r="Q89" s="104"/>
      <c r="R89" s="5"/>
      <c r="S89" s="112"/>
      <c r="T89" s="113"/>
    </row>
    <row r="90" spans="1:26" ht="20.25" customHeight="1" x14ac:dyDescent="0.25">
      <c r="A90" s="5"/>
      <c r="B90" s="135"/>
      <c r="C90" s="5"/>
      <c r="D90" s="113"/>
      <c r="E90" s="104"/>
      <c r="F90" s="5"/>
      <c r="G90" s="106"/>
      <c r="H90" s="5"/>
      <c r="K90" s="120"/>
      <c r="M90" s="46"/>
      <c r="N90" s="135"/>
      <c r="O90" s="5"/>
      <c r="P90" s="113"/>
      <c r="Q90" s="104"/>
      <c r="R90" s="5"/>
      <c r="S90" s="106"/>
      <c r="T90" s="5"/>
      <c r="W90" s="120"/>
    </row>
    <row r="91" spans="1:26" ht="30" customHeight="1" x14ac:dyDescent="0.25">
      <c r="A91" s="5"/>
      <c r="B91" s="135"/>
      <c r="C91" s="5"/>
      <c r="D91" s="113"/>
      <c r="E91" s="104"/>
      <c r="F91" s="5"/>
      <c r="G91" s="106"/>
      <c r="H91" s="5"/>
      <c r="M91" s="46"/>
      <c r="N91" s="135"/>
      <c r="O91" s="5"/>
      <c r="P91" s="113"/>
      <c r="Q91" s="104"/>
      <c r="R91" s="5"/>
      <c r="S91" s="106"/>
      <c r="T91" s="5"/>
    </row>
    <row r="92" spans="1:26" ht="20.25" customHeight="1" x14ac:dyDescent="0.25">
      <c r="A92" s="5"/>
      <c r="B92" s="5"/>
      <c r="C92" s="5"/>
      <c r="D92" s="109"/>
      <c r="E92" s="131"/>
      <c r="F92" s="132"/>
      <c r="G92" s="131"/>
      <c r="H92" s="132"/>
      <c r="I92" s="132"/>
      <c r="J92" s="114"/>
      <c r="M92" s="49"/>
      <c r="N92" s="5"/>
      <c r="O92" s="5"/>
      <c r="P92" s="109"/>
      <c r="Q92" s="131"/>
      <c r="R92" s="132"/>
      <c r="S92" s="131"/>
      <c r="T92" s="132"/>
      <c r="U92" s="132"/>
      <c r="V92" s="114"/>
    </row>
    <row r="93" spans="1:26" ht="20.25" customHeight="1" x14ac:dyDescent="0.25">
      <c r="A93" s="5"/>
      <c r="B93" s="5"/>
      <c r="C93" s="5"/>
      <c r="D93" s="5"/>
      <c r="E93" s="106"/>
      <c r="F93" s="5"/>
      <c r="G93" s="106"/>
      <c r="H93" s="5"/>
      <c r="I93" s="5"/>
      <c r="M93" s="46"/>
      <c r="N93" s="5"/>
      <c r="O93" s="5"/>
      <c r="P93" s="5"/>
      <c r="Q93" s="106"/>
      <c r="R93" s="5"/>
      <c r="S93" s="106"/>
      <c r="T93" s="5"/>
      <c r="U93" s="5"/>
    </row>
    <row r="94" spans="1:26" ht="20.25" customHeight="1" x14ac:dyDescent="0.25">
      <c r="A94" s="5"/>
      <c r="B94" s="5"/>
      <c r="C94" s="5"/>
      <c r="D94" s="5"/>
      <c r="E94" s="237">
        <f>17+L13-L17</f>
        <v>17</v>
      </c>
      <c r="F94" s="5"/>
      <c r="G94" s="136">
        <v>10</v>
      </c>
      <c r="H94" s="5"/>
      <c r="I94" s="5"/>
      <c r="M94" s="46"/>
      <c r="N94" s="5"/>
      <c r="O94" s="5"/>
      <c r="P94" s="5"/>
      <c r="Q94" s="237">
        <f>17+L13-L17</f>
        <v>17</v>
      </c>
      <c r="R94" s="5"/>
      <c r="S94" s="136">
        <v>10</v>
      </c>
      <c r="T94" s="5"/>
      <c r="U94" s="5"/>
    </row>
    <row r="95" spans="1:26" ht="20.25" customHeight="1" x14ac:dyDescent="0.25">
      <c r="A95" s="5"/>
      <c r="B95" s="5"/>
      <c r="C95" s="5"/>
      <c r="F95" s="5"/>
      <c r="G95" s="5"/>
      <c r="H95" s="5"/>
      <c r="I95" s="5"/>
      <c r="M95" s="5"/>
      <c r="N95" s="5"/>
      <c r="O95" s="8"/>
      <c r="P95" s="8"/>
      <c r="Q95" s="8"/>
      <c r="R95" s="8"/>
      <c r="S95" s="8"/>
      <c r="T95" s="8"/>
      <c r="U95" s="8"/>
      <c r="V95" s="8"/>
      <c r="W95" s="8"/>
    </row>
    <row r="96" spans="1:26" x14ac:dyDescent="0.25">
      <c r="A96" s="5"/>
      <c r="B96" s="5"/>
      <c r="C96" s="5"/>
      <c r="D96" s="105"/>
      <c r="E96" s="105"/>
      <c r="F96" s="5"/>
      <c r="G96" s="5"/>
      <c r="H96" s="5"/>
      <c r="I96" s="5"/>
    </row>
    <row r="97" spans="1:3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30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219"/>
      <c r="P98" s="219"/>
      <c r="Q98" s="219"/>
      <c r="R98" s="219"/>
      <c r="S98" s="219"/>
      <c r="T98" s="219"/>
      <c r="U98" s="219"/>
      <c r="V98" s="219"/>
      <c r="W98" s="219"/>
    </row>
    <row r="99" spans="1:30" ht="21" x14ac:dyDescent="0.35">
      <c r="A99" s="5"/>
      <c r="B99" s="37" t="str">
        <f>IFERROR((IF($L$19&gt;2,Překlady!$C$63,"")),"")</f>
        <v/>
      </c>
      <c r="C99" s="5"/>
      <c r="E99" s="63"/>
      <c r="F99" s="5"/>
      <c r="G99" s="5"/>
      <c r="H99" s="5"/>
      <c r="I99" s="5"/>
      <c r="N99" s="37" t="str">
        <f>IFERROR((IF($L$19&gt;3,Překlady!$C$64,"")),"")</f>
        <v/>
      </c>
      <c r="P99" s="63"/>
      <c r="Q99" s="5"/>
      <c r="R99" s="5"/>
      <c r="S99" s="5"/>
      <c r="T99" s="5"/>
    </row>
    <row r="100" spans="1:30" x14ac:dyDescent="0.25">
      <c r="A100" s="5"/>
      <c r="B100" s="5"/>
      <c r="C100" s="5"/>
      <c r="D100" s="5"/>
      <c r="E100" s="5"/>
      <c r="F100" s="5"/>
      <c r="G100" s="5"/>
      <c r="H100" s="5"/>
      <c r="I100" s="5"/>
      <c r="N100" s="5"/>
      <c r="O100" s="5"/>
      <c r="P100" s="5"/>
      <c r="Q100" s="5"/>
      <c r="R100" s="5"/>
      <c r="S100" s="5"/>
      <c r="T100" s="5"/>
      <c r="U100" s="5"/>
      <c r="Y100" s="225" t="s">
        <v>496</v>
      </c>
      <c r="Z100" s="31"/>
      <c r="AA100" s="31"/>
      <c r="AB100" s="31"/>
      <c r="AC100" s="31" t="s">
        <v>497</v>
      </c>
      <c r="AD100" s="212"/>
    </row>
    <row r="101" spans="1:30" x14ac:dyDescent="0.25">
      <c r="A101" s="5"/>
      <c r="B101" s="43"/>
      <c r="C101" s="5"/>
      <c r="D101" s="5"/>
      <c r="E101" s="5"/>
      <c r="F101" s="5"/>
      <c r="G101" s="5"/>
      <c r="H101" s="5"/>
      <c r="I101" s="5"/>
      <c r="N101" s="43"/>
      <c r="O101" s="5"/>
      <c r="P101" s="5"/>
      <c r="Q101" s="5"/>
      <c r="R101" s="5"/>
      <c r="S101" s="5"/>
      <c r="T101" s="5"/>
      <c r="U101" s="5"/>
      <c r="Y101" s="226" t="s">
        <v>498</v>
      </c>
      <c r="AC101">
        <v>89</v>
      </c>
      <c r="AD101" s="126">
        <v>1</v>
      </c>
    </row>
    <row r="102" spans="1:30" x14ac:dyDescent="0.25">
      <c r="A102" s="5"/>
      <c r="B102" s="43"/>
      <c r="D102" s="6"/>
      <c r="F102" s="5"/>
      <c r="G102" s="5"/>
      <c r="H102" s="5"/>
      <c r="N102" s="43"/>
      <c r="P102" s="6"/>
      <c r="R102" s="5"/>
      <c r="S102" s="5"/>
      <c r="T102" s="5"/>
      <c r="Y102" s="226">
        <f>IF($L$19&gt;2,1,0)</f>
        <v>0</v>
      </c>
      <c r="Z102">
        <f>IF(Y102=0,0,VLOOKUP($H$29,AC101:AD103,2))</f>
        <v>0</v>
      </c>
      <c r="AC102">
        <v>121</v>
      </c>
      <c r="AD102" s="126">
        <v>2</v>
      </c>
    </row>
    <row r="103" spans="1:30" ht="20.25" customHeight="1" x14ac:dyDescent="0.25">
      <c r="A103" s="5"/>
      <c r="B103" s="48" t="str">
        <f>IF(Z102=3,16,"")</f>
        <v/>
      </c>
      <c r="D103" s="6"/>
      <c r="F103" s="5"/>
      <c r="G103" s="5"/>
      <c r="H103" s="5"/>
      <c r="L103" s="120"/>
      <c r="N103" s="48" t="str">
        <f>IF($Z$114=3,16,"")</f>
        <v/>
      </c>
      <c r="P103" s="6"/>
      <c r="R103" s="5"/>
      <c r="S103" s="5"/>
      <c r="T103" s="5"/>
      <c r="Y103" s="227"/>
      <c r="Z103" s="114"/>
      <c r="AA103" s="114"/>
      <c r="AB103" s="114"/>
      <c r="AC103" s="114">
        <v>185</v>
      </c>
      <c r="AD103" s="213">
        <v>3</v>
      </c>
    </row>
    <row r="104" spans="1:30" ht="20.25" customHeight="1" x14ac:dyDescent="0.25">
      <c r="A104" s="5"/>
      <c r="B104" s="48"/>
      <c r="D104" s="6"/>
      <c r="F104" s="5"/>
      <c r="G104" s="5"/>
      <c r="H104" s="5"/>
      <c r="N104" s="48"/>
      <c r="P104" s="6"/>
      <c r="R104" s="5"/>
      <c r="S104" s="5"/>
      <c r="T104" s="5"/>
    </row>
    <row r="105" spans="1:30" ht="20.25" customHeight="1" x14ac:dyDescent="0.25">
      <c r="A105" s="5"/>
      <c r="B105" s="49" t="str">
        <f>IF($Z$102=3,16,"")</f>
        <v/>
      </c>
      <c r="D105" s="6"/>
      <c r="F105" s="5"/>
      <c r="G105" s="5"/>
      <c r="H105" s="5"/>
      <c r="N105" s="49" t="str">
        <f>IF($Z$114=3,16,"")</f>
        <v/>
      </c>
      <c r="P105" s="6"/>
      <c r="R105" s="5"/>
      <c r="S105" s="5"/>
      <c r="T105" s="5"/>
    </row>
    <row r="106" spans="1:30" ht="20.25" customHeight="1" x14ac:dyDescent="0.25">
      <c r="A106" s="5"/>
      <c r="B106" s="43"/>
      <c r="D106" s="6"/>
      <c r="F106" s="5"/>
      <c r="G106" s="5"/>
      <c r="H106" s="5"/>
      <c r="N106" s="43"/>
      <c r="P106" s="6"/>
      <c r="R106" s="5"/>
      <c r="S106" s="5"/>
      <c r="T106" s="5"/>
    </row>
    <row r="107" spans="1:30" ht="20.25" customHeight="1" x14ac:dyDescent="0.25">
      <c r="A107" s="5"/>
      <c r="B107" s="46" t="str">
        <f>IF($Z$102=3,64,"")</f>
        <v/>
      </c>
      <c r="D107" s="6"/>
      <c r="F107" s="5"/>
      <c r="G107" s="5"/>
      <c r="H107" s="5"/>
      <c r="L107" s="120"/>
      <c r="N107" s="46" t="str">
        <f>IF($Z$114=3,64,"")</f>
        <v/>
      </c>
      <c r="P107" s="6"/>
      <c r="R107" s="5"/>
      <c r="S107" s="5"/>
      <c r="T107" s="5"/>
    </row>
    <row r="108" spans="1:30" ht="20.25" customHeight="1" x14ac:dyDescent="0.25">
      <c r="A108" s="5"/>
      <c r="C108" s="5"/>
      <c r="D108" s="5"/>
      <c r="F108" s="5"/>
      <c r="G108" s="5"/>
      <c r="H108" s="5"/>
      <c r="O108" s="5"/>
      <c r="P108" s="5"/>
      <c r="R108" s="5"/>
      <c r="S108" s="5"/>
      <c r="T108" s="5"/>
    </row>
    <row r="109" spans="1:30" ht="20.25" customHeight="1" x14ac:dyDescent="0.25">
      <c r="A109" s="5"/>
      <c r="B109" s="46"/>
      <c r="C109" s="5"/>
      <c r="D109" s="5"/>
      <c r="E109" s="5"/>
      <c r="F109" s="5"/>
      <c r="G109" s="5"/>
      <c r="H109" s="5"/>
      <c r="N109" s="46"/>
      <c r="O109" s="5"/>
      <c r="P109" s="5"/>
      <c r="Q109" s="5"/>
      <c r="R109" s="5"/>
      <c r="S109" s="5"/>
      <c r="T109" s="5"/>
    </row>
    <row r="110" spans="1:30" ht="20.25" customHeight="1" x14ac:dyDescent="0.25">
      <c r="A110" s="5"/>
      <c r="B110" s="43"/>
      <c r="C110" s="5"/>
      <c r="D110" s="5"/>
      <c r="E110" s="5"/>
      <c r="F110" s="5"/>
      <c r="G110" s="5"/>
      <c r="H110" s="5"/>
      <c r="L110" s="120"/>
      <c r="N110" s="43"/>
      <c r="O110" s="5"/>
      <c r="P110" s="5"/>
      <c r="Q110" s="5"/>
      <c r="R110" s="5"/>
      <c r="S110" s="5"/>
      <c r="T110" s="5"/>
    </row>
    <row r="111" spans="1:30" ht="20.25" customHeight="1" x14ac:dyDescent="0.25">
      <c r="A111" s="5"/>
      <c r="B111" s="43"/>
      <c r="C111" s="5"/>
      <c r="D111" s="5"/>
      <c r="F111" s="5"/>
      <c r="G111" s="5"/>
      <c r="H111" s="5"/>
      <c r="N111" s="43"/>
      <c r="O111" s="5"/>
      <c r="P111" s="5"/>
      <c r="R111" s="5"/>
      <c r="S111" s="5"/>
      <c r="T111" s="5"/>
    </row>
    <row r="112" spans="1:30" ht="20.25" customHeight="1" x14ac:dyDescent="0.25">
      <c r="A112" s="5"/>
      <c r="B112" s="43" t="str">
        <f>IF($Z$102&gt;0,16,"")</f>
        <v/>
      </c>
      <c r="C112" s="5"/>
      <c r="D112" s="5"/>
      <c r="F112" s="5"/>
      <c r="G112" s="5"/>
      <c r="H112" s="5"/>
      <c r="N112" s="43" t="str">
        <f>IF($Z$114&gt;0,16,"")</f>
        <v/>
      </c>
      <c r="O112" s="5"/>
      <c r="P112" s="5"/>
      <c r="R112" s="5"/>
      <c r="S112" s="5"/>
      <c r="T112" s="5"/>
      <c r="Y112" s="225" t="s">
        <v>499</v>
      </c>
      <c r="Z112" s="31"/>
      <c r="AA112" s="31"/>
      <c r="AB112" s="31"/>
      <c r="AC112" s="31" t="s">
        <v>497</v>
      </c>
      <c r="AD112" s="212">
        <v>0</v>
      </c>
    </row>
    <row r="113" spans="1:30" ht="20.25" customHeight="1" x14ac:dyDescent="0.25">
      <c r="A113" s="5"/>
      <c r="B113" s="43"/>
      <c r="C113" s="5"/>
      <c r="D113" s="5"/>
      <c r="F113" s="5"/>
      <c r="G113" s="5"/>
      <c r="H113" s="5"/>
      <c r="L113" s="120"/>
      <c r="N113" s="43"/>
      <c r="O113" s="5"/>
      <c r="P113" s="5"/>
      <c r="R113" s="5"/>
      <c r="S113" s="5"/>
      <c r="T113" s="5"/>
      <c r="Y113" s="226" t="s">
        <v>500</v>
      </c>
      <c r="AC113">
        <v>89</v>
      </c>
      <c r="AD113" s="126">
        <v>1</v>
      </c>
    </row>
    <row r="114" spans="1:30" ht="20.25" customHeight="1" x14ac:dyDescent="0.25">
      <c r="A114" s="5"/>
      <c r="B114" s="43" t="str">
        <f>IF($Z$102&gt;0,16,"")</f>
        <v/>
      </c>
      <c r="C114" s="5"/>
      <c r="D114" s="5"/>
      <c r="F114" s="5"/>
      <c r="G114" s="5"/>
      <c r="H114" s="5"/>
      <c r="N114" s="43" t="str">
        <f>IF($Z$114&gt;0,16,"")</f>
        <v/>
      </c>
      <c r="O114" s="5"/>
      <c r="P114" s="5"/>
      <c r="R114" s="5"/>
      <c r="S114" s="5"/>
      <c r="T114" s="5"/>
      <c r="Y114" s="226">
        <f>IF($L$19&gt;3,1,0)</f>
        <v>0</v>
      </c>
      <c r="Z114">
        <f>IF(Y114=1,VLOOKUP($H$28,AC113:AD115,2),0)</f>
        <v>0</v>
      </c>
      <c r="AC114">
        <v>121</v>
      </c>
      <c r="AD114" s="126">
        <v>2</v>
      </c>
    </row>
    <row r="115" spans="1:30" ht="20.25" customHeight="1" x14ac:dyDescent="0.25">
      <c r="A115" s="5"/>
      <c r="B115" s="43"/>
      <c r="C115" s="5"/>
      <c r="D115" s="5"/>
      <c r="F115" s="5"/>
      <c r="G115" s="5"/>
      <c r="H115" s="5"/>
      <c r="N115" s="43"/>
      <c r="O115" s="5"/>
      <c r="P115" s="5"/>
      <c r="R115" s="5"/>
      <c r="S115" s="5"/>
      <c r="T115" s="5"/>
      <c r="Y115" s="227"/>
      <c r="Z115" s="114"/>
      <c r="AA115" s="114"/>
      <c r="AB115" s="114"/>
      <c r="AC115" s="114">
        <v>185</v>
      </c>
      <c r="AD115" s="213">
        <v>3</v>
      </c>
    </row>
    <row r="116" spans="1:30" ht="20.25" customHeight="1" x14ac:dyDescent="0.25">
      <c r="A116" s="5"/>
      <c r="B116" s="47" t="str">
        <f>IF($Z$102&gt;0,56+AC15,"")</f>
        <v/>
      </c>
      <c r="C116" s="5"/>
      <c r="D116" s="5"/>
      <c r="F116" s="5"/>
      <c r="G116" s="5"/>
      <c r="H116" s="5"/>
      <c r="N116" s="47" t="str">
        <f>IF($Z$114&gt;0,56+AC15,"")</f>
        <v/>
      </c>
      <c r="O116" s="5"/>
      <c r="P116" s="5"/>
      <c r="R116" s="5"/>
      <c r="S116" s="5"/>
      <c r="T116" s="5"/>
    </row>
    <row r="117" spans="1:30" ht="20.25" customHeight="1" x14ac:dyDescent="0.25">
      <c r="A117" s="5"/>
      <c r="B117" s="135"/>
      <c r="C117" s="5"/>
      <c r="D117" s="5"/>
      <c r="F117" s="5"/>
      <c r="G117" s="5"/>
      <c r="H117" s="5"/>
      <c r="L117" s="120"/>
      <c r="N117" s="135"/>
      <c r="O117" s="5"/>
      <c r="P117" s="5"/>
      <c r="R117" s="5"/>
      <c r="S117" s="5"/>
      <c r="T117" s="5"/>
    </row>
    <row r="118" spans="1:30" ht="20.25" customHeight="1" x14ac:dyDescent="0.25">
      <c r="A118" s="5"/>
      <c r="B118" s="135"/>
      <c r="C118" s="5"/>
      <c r="D118" s="5"/>
      <c r="F118" s="5"/>
      <c r="G118" s="5"/>
      <c r="H118" s="5"/>
      <c r="N118" s="135"/>
      <c r="O118" s="5"/>
      <c r="P118" s="5"/>
      <c r="R118" s="5"/>
      <c r="S118" s="5"/>
      <c r="T118" s="5"/>
    </row>
    <row r="119" spans="1:30" ht="20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N119" s="5"/>
      <c r="O119" s="5"/>
      <c r="P119" s="5"/>
      <c r="Q119" s="5"/>
      <c r="R119" s="5"/>
      <c r="S119" s="5"/>
      <c r="T119" s="5"/>
      <c r="U119" s="5"/>
    </row>
    <row r="120" spans="1:30" ht="24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N120" s="5"/>
      <c r="O120" s="5"/>
      <c r="P120" s="5"/>
      <c r="Q120" s="5"/>
      <c r="R120" s="5"/>
      <c r="S120" s="5"/>
      <c r="T120" s="5"/>
      <c r="U120" s="5"/>
    </row>
    <row r="121" spans="1:30" ht="20.25" customHeight="1" x14ac:dyDescent="0.25">
      <c r="A121" s="5"/>
      <c r="B121" s="5"/>
      <c r="C121" s="5"/>
      <c r="E121" s="5" t="str">
        <f>IF($Z$102&gt;0,17+$L$13-$L$17,"")</f>
        <v/>
      </c>
      <c r="F121" s="5"/>
      <c r="G121" s="68" t="str">
        <f>IF($Z$102&gt;0,10,"")</f>
        <v/>
      </c>
      <c r="H121" s="5"/>
      <c r="I121" s="5"/>
      <c r="N121" s="5"/>
      <c r="O121" s="5"/>
      <c r="P121" s="5"/>
      <c r="Q121" s="68" t="str">
        <f>IF($Z$114&gt;0,17+$L$13-$L$17,"")</f>
        <v/>
      </c>
      <c r="R121" s="5"/>
      <c r="S121" s="68" t="str">
        <f>IF($Z$114&gt;0,10,"")</f>
        <v/>
      </c>
      <c r="T121" s="5"/>
      <c r="U121" s="5"/>
    </row>
    <row r="122" spans="1:30" ht="20.25" customHeight="1" x14ac:dyDescent="0.25">
      <c r="A122" s="5"/>
      <c r="S122" s="68"/>
      <c r="T122" s="5"/>
      <c r="U122" s="5"/>
    </row>
    <row r="123" spans="1:30" ht="20.25" customHeight="1" x14ac:dyDescent="0.25">
      <c r="A123" s="5"/>
      <c r="O123" s="5"/>
      <c r="P123" s="5"/>
      <c r="R123" s="68"/>
      <c r="S123" s="5"/>
      <c r="T123" s="5"/>
      <c r="U123" s="5"/>
    </row>
    <row r="124" spans="1:30" ht="20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30" ht="20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229"/>
      <c r="P125" s="229"/>
      <c r="Q125" s="229"/>
      <c r="R125" s="229"/>
      <c r="S125" s="229"/>
      <c r="T125" s="229"/>
      <c r="U125" s="229"/>
      <c r="V125" s="229"/>
      <c r="W125" s="229"/>
    </row>
    <row r="126" spans="1:30" ht="20.25" customHeight="1" x14ac:dyDescent="0.35">
      <c r="A126" s="5"/>
      <c r="B126" s="37" t="str">
        <f>IFERROR((IF($L$19&gt;4,Překlady!$C$65,"")),"")</f>
        <v/>
      </c>
      <c r="C126" s="5"/>
      <c r="E126" s="63"/>
      <c r="F126" s="5"/>
      <c r="G126" s="5"/>
      <c r="H126" s="5"/>
      <c r="I126" s="5"/>
      <c r="O126" s="37"/>
      <c r="P126" s="5"/>
      <c r="Q126" s="5"/>
      <c r="R126" s="5"/>
      <c r="S126" s="5"/>
      <c r="T126" s="5"/>
      <c r="U126" s="5"/>
    </row>
    <row r="127" spans="1:30" ht="20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O127" s="5"/>
      <c r="P127" s="5"/>
      <c r="Q127" s="5"/>
      <c r="R127" s="5"/>
      <c r="S127" s="5"/>
      <c r="T127" s="5"/>
      <c r="U127" s="5"/>
    </row>
    <row r="128" spans="1:30" ht="20.25" customHeight="1" x14ac:dyDescent="0.25">
      <c r="A128" s="5"/>
      <c r="B128" s="43"/>
      <c r="C128" s="5"/>
      <c r="D128" s="5"/>
      <c r="E128" s="5"/>
      <c r="F128" s="5"/>
      <c r="G128" s="5"/>
      <c r="H128" s="5"/>
      <c r="I128" s="5"/>
    </row>
    <row r="129" spans="1:30" ht="20.25" customHeight="1" x14ac:dyDescent="0.25">
      <c r="A129" s="5"/>
      <c r="B129" s="43"/>
      <c r="D129" s="6"/>
      <c r="F129" s="5"/>
      <c r="G129" s="5"/>
      <c r="H129" s="5"/>
    </row>
    <row r="130" spans="1:30" ht="20.25" customHeight="1" x14ac:dyDescent="0.25">
      <c r="A130" s="5"/>
      <c r="B130" s="48" t="str">
        <f>IF($Z$136=3,16,"")</f>
        <v/>
      </c>
      <c r="D130" s="6"/>
      <c r="F130" s="5"/>
      <c r="G130" s="5"/>
      <c r="H130" s="5"/>
      <c r="K130" s="120"/>
      <c r="S130" s="49"/>
      <c r="T130" s="5"/>
      <c r="U130" s="5"/>
    </row>
    <row r="131" spans="1:30" ht="20.25" customHeight="1" x14ac:dyDescent="0.25">
      <c r="A131" s="5"/>
      <c r="B131" s="48"/>
      <c r="D131" s="6"/>
      <c r="F131" s="5"/>
      <c r="G131" s="5"/>
      <c r="H131" s="5"/>
      <c r="S131" s="49"/>
      <c r="T131" s="5"/>
      <c r="U131" s="5"/>
    </row>
    <row r="132" spans="1:30" ht="21" customHeight="1" x14ac:dyDescent="0.25">
      <c r="A132" s="5"/>
      <c r="B132" s="49" t="str">
        <f>IF($Z$136=3,16,"")</f>
        <v/>
      </c>
      <c r="D132" s="6"/>
      <c r="F132" s="5"/>
      <c r="G132" s="5"/>
      <c r="H132" s="5"/>
      <c r="S132" s="44"/>
      <c r="T132" s="5"/>
      <c r="U132" s="5"/>
    </row>
    <row r="133" spans="1:30" x14ac:dyDescent="0.25">
      <c r="A133" s="5"/>
      <c r="B133" s="43"/>
      <c r="D133" s="6"/>
      <c r="F133" s="5"/>
      <c r="G133" s="5"/>
      <c r="H133" s="5"/>
      <c r="N133" s="117"/>
      <c r="S133" s="51"/>
      <c r="T133" s="5"/>
      <c r="U133" s="5"/>
    </row>
    <row r="134" spans="1:30" ht="18.75" customHeight="1" x14ac:dyDescent="0.25">
      <c r="A134" s="5"/>
      <c r="B134" s="46" t="str">
        <f>IF($Z$136=3,64,"")</f>
        <v/>
      </c>
      <c r="D134" s="6"/>
      <c r="F134" s="5"/>
      <c r="G134" s="5"/>
      <c r="H134" s="5"/>
      <c r="K134" s="120"/>
      <c r="S134" s="49"/>
      <c r="T134" s="5"/>
      <c r="Y134" s="225" t="s">
        <v>501</v>
      </c>
      <c r="Z134" s="31"/>
      <c r="AA134" s="31"/>
      <c r="AB134" s="31"/>
      <c r="AC134" s="31" t="s">
        <v>497</v>
      </c>
      <c r="AD134" s="212"/>
    </row>
    <row r="135" spans="1:30" x14ac:dyDescent="0.25">
      <c r="A135" s="5"/>
      <c r="C135" s="5"/>
      <c r="D135" s="5"/>
      <c r="F135" s="5"/>
      <c r="G135" s="5"/>
      <c r="H135" s="5"/>
      <c r="S135" s="45"/>
      <c r="T135" s="5"/>
      <c r="U135" s="48"/>
      <c r="Y135" s="226" t="s">
        <v>502</v>
      </c>
      <c r="AC135">
        <v>89</v>
      </c>
      <c r="AD135" s="126">
        <v>1</v>
      </c>
    </row>
    <row r="136" spans="1:30" x14ac:dyDescent="0.25">
      <c r="A136" s="5"/>
      <c r="B136" s="46"/>
      <c r="C136" s="5"/>
      <c r="D136" s="5"/>
      <c r="E136" s="5"/>
      <c r="F136" s="5"/>
      <c r="G136" s="5"/>
      <c r="H136" s="5"/>
      <c r="S136" s="49"/>
      <c r="T136" s="5"/>
      <c r="U136" s="48"/>
      <c r="Y136" s="226">
        <f>IF($L$19=5,1,0)</f>
        <v>0</v>
      </c>
      <c r="Z136">
        <f>IF(Y136=1,VLOOKUP($H$27,AC135:AD137,2),0)</f>
        <v>0</v>
      </c>
      <c r="AC136">
        <v>121</v>
      </c>
      <c r="AD136" s="126">
        <v>2</v>
      </c>
    </row>
    <row r="137" spans="1:30" ht="15.75" customHeight="1" x14ac:dyDescent="0.25">
      <c r="A137" s="5"/>
      <c r="B137" s="43"/>
      <c r="C137" s="5"/>
      <c r="D137" s="5"/>
      <c r="E137" s="5"/>
      <c r="F137" s="5"/>
      <c r="G137" s="5"/>
      <c r="H137" s="5"/>
      <c r="K137" s="120"/>
      <c r="S137" s="46"/>
      <c r="T137" s="5"/>
      <c r="U137" s="52"/>
      <c r="Y137" s="227"/>
      <c r="Z137" s="114"/>
      <c r="AA137" s="114"/>
      <c r="AB137" s="114"/>
      <c r="AC137" s="114">
        <v>185</v>
      </c>
      <c r="AD137" s="213">
        <v>3</v>
      </c>
    </row>
    <row r="138" spans="1:30" ht="20.25" customHeight="1" x14ac:dyDescent="0.25">
      <c r="A138" s="5"/>
      <c r="B138" s="43"/>
      <c r="C138" s="5"/>
      <c r="D138" s="5"/>
      <c r="F138" s="5"/>
      <c r="G138" s="5"/>
      <c r="H138" s="5"/>
      <c r="Q138" s="228"/>
      <c r="S138" s="49"/>
      <c r="T138" s="5"/>
      <c r="U138" s="52"/>
    </row>
    <row r="139" spans="1:30" ht="20.25" customHeight="1" x14ac:dyDescent="0.25">
      <c r="A139" s="5"/>
      <c r="B139" s="43" t="str">
        <f>IF($Z$136&gt;0,16,"")</f>
        <v/>
      </c>
      <c r="C139" s="5"/>
      <c r="D139" s="5"/>
      <c r="F139" s="5"/>
      <c r="G139" s="5"/>
      <c r="H139" s="5"/>
      <c r="Q139" s="5"/>
      <c r="R139" s="5"/>
      <c r="S139" s="46"/>
      <c r="T139" s="5"/>
    </row>
    <row r="140" spans="1:30" ht="20.25" customHeight="1" x14ac:dyDescent="0.25">
      <c r="A140" s="5"/>
      <c r="B140" s="43"/>
      <c r="C140" s="5"/>
      <c r="D140" s="5"/>
      <c r="F140" s="5"/>
      <c r="G140" s="5"/>
      <c r="H140" s="5"/>
      <c r="K140" s="120"/>
      <c r="Q140" s="5"/>
      <c r="R140" s="5"/>
      <c r="S140" s="43"/>
      <c r="T140" s="5"/>
      <c r="U140" s="43"/>
    </row>
    <row r="141" spans="1:30" ht="20.25" customHeight="1" x14ac:dyDescent="0.25">
      <c r="A141" s="5"/>
      <c r="B141" s="43" t="str">
        <f>IF($Z$136&gt;0,16,"")</f>
        <v/>
      </c>
      <c r="C141" s="5"/>
      <c r="D141" s="5"/>
      <c r="F141" s="5"/>
      <c r="G141" s="5"/>
      <c r="H141" s="5"/>
      <c r="S141" s="43"/>
    </row>
    <row r="142" spans="1:30" ht="20.25" customHeight="1" x14ac:dyDescent="0.25">
      <c r="A142" s="5"/>
      <c r="B142" s="43"/>
      <c r="C142" s="5"/>
      <c r="D142" s="5"/>
      <c r="F142" s="5"/>
      <c r="G142" s="5"/>
      <c r="H142" s="5"/>
      <c r="S142" s="43"/>
      <c r="T142" s="5"/>
      <c r="U142" s="5"/>
    </row>
    <row r="143" spans="1:30" ht="20.25" customHeight="1" x14ac:dyDescent="0.25">
      <c r="A143" s="5"/>
      <c r="B143" s="47" t="str">
        <f>IF($Z$136&gt;0,56+AC15,"")</f>
        <v/>
      </c>
      <c r="C143" s="5"/>
      <c r="D143" s="5"/>
      <c r="F143" s="5"/>
      <c r="G143" s="5"/>
      <c r="H143" s="5"/>
      <c r="S143" s="49"/>
      <c r="T143" s="5"/>
      <c r="U143" s="5"/>
    </row>
    <row r="144" spans="1:30" ht="20.25" customHeight="1" x14ac:dyDescent="0.25">
      <c r="A144" s="5"/>
      <c r="B144" s="135"/>
      <c r="C144" s="5"/>
      <c r="D144" s="5"/>
      <c r="F144" s="5"/>
      <c r="G144" s="5"/>
      <c r="H144" s="5"/>
      <c r="K144" s="120"/>
      <c r="Q144" s="5"/>
      <c r="R144" s="5"/>
      <c r="S144" s="49"/>
      <c r="T144" s="5"/>
    </row>
    <row r="145" spans="1:21" ht="20.25" customHeight="1" x14ac:dyDescent="0.25">
      <c r="A145" s="5"/>
      <c r="B145" s="135"/>
      <c r="C145" s="5"/>
      <c r="D145" s="5"/>
      <c r="F145" s="5"/>
      <c r="G145" s="5"/>
      <c r="H145" s="5"/>
      <c r="Q145" s="5"/>
      <c r="R145" s="5"/>
      <c r="S145" s="49"/>
      <c r="T145" s="5"/>
      <c r="U145" s="43"/>
    </row>
    <row r="146" spans="1:21" ht="20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S146" s="49"/>
      <c r="T146" s="5"/>
      <c r="U146" s="5"/>
    </row>
    <row r="147" spans="1:21" ht="20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S147" s="68"/>
      <c r="T147" s="5"/>
      <c r="U147" s="5"/>
    </row>
    <row r="148" spans="1:21" ht="20.25" customHeight="1" x14ac:dyDescent="0.25">
      <c r="A148" s="5"/>
      <c r="B148" s="5"/>
      <c r="C148" s="5"/>
      <c r="D148" s="5"/>
      <c r="E148" s="68" t="str">
        <f>IF($Z$136&gt;0,17+$L$13-$L$17,"")</f>
        <v/>
      </c>
      <c r="F148" s="5"/>
      <c r="G148" s="68" t="str">
        <f>IF($Z$136&gt;0,10,"")</f>
        <v/>
      </c>
      <c r="H148" s="5"/>
      <c r="I148" s="5"/>
      <c r="O148" s="5"/>
      <c r="P148" s="5"/>
      <c r="R148" s="68"/>
      <c r="S148" s="5"/>
      <c r="T148" s="5"/>
      <c r="U148" s="5"/>
    </row>
    <row r="149" spans="1:21" ht="30" customHeight="1" x14ac:dyDescent="0.25">
      <c r="A149" s="5"/>
    </row>
    <row r="150" spans="1:21" ht="20.25" customHeight="1" x14ac:dyDescent="0.25">
      <c r="A150" s="5"/>
    </row>
    <row r="151" spans="1:21" ht="20.25" customHeight="1" x14ac:dyDescent="0.25">
      <c r="A151" s="5"/>
    </row>
    <row r="152" spans="1:21" ht="20.25" customHeight="1" x14ac:dyDescent="0.25">
      <c r="A152" s="5"/>
    </row>
    <row r="153" spans="1:21" ht="20.25" customHeight="1" x14ac:dyDescent="0.25">
      <c r="A153" s="5"/>
    </row>
    <row r="154" spans="1:21" ht="20.25" customHeight="1" x14ac:dyDescent="0.25">
      <c r="A154" s="5"/>
    </row>
    <row r="155" spans="1:21" ht="20.25" customHeight="1" x14ac:dyDescent="0.25">
      <c r="A155" s="5"/>
    </row>
    <row r="156" spans="1:21" ht="20.25" customHeight="1" x14ac:dyDescent="0.25">
      <c r="A156" s="5"/>
    </row>
    <row r="157" spans="1:21" ht="20.25" customHeight="1" x14ac:dyDescent="0.25">
      <c r="A157" s="5"/>
    </row>
    <row r="158" spans="1:21" ht="20.25" customHeight="1" x14ac:dyDescent="0.25">
      <c r="A158" s="5"/>
    </row>
    <row r="159" spans="1:21" ht="20.25" customHeight="1" x14ac:dyDescent="0.25">
      <c r="A159" s="5"/>
    </row>
    <row r="160" spans="1:21" ht="20.25" customHeight="1" x14ac:dyDescent="0.25">
      <c r="A160" s="5"/>
    </row>
    <row r="161" spans="1:1" ht="20.25" customHeight="1" x14ac:dyDescent="0.25">
      <c r="A161" s="5"/>
    </row>
    <row r="162" spans="1:1" ht="20.25" customHeight="1" x14ac:dyDescent="0.25">
      <c r="A162" s="5"/>
    </row>
    <row r="163" spans="1:1" ht="20.25" customHeight="1" x14ac:dyDescent="0.25">
      <c r="A163" s="5"/>
    </row>
    <row r="164" spans="1:1" ht="20.25" customHeight="1" x14ac:dyDescent="0.25">
      <c r="A164" s="5"/>
    </row>
    <row r="165" spans="1:1" ht="20.25" customHeight="1" x14ac:dyDescent="0.25">
      <c r="A165" s="5"/>
    </row>
    <row r="166" spans="1:1" ht="20.25" customHeight="1" x14ac:dyDescent="0.25">
      <c r="A166" s="5"/>
    </row>
    <row r="167" spans="1:1" ht="20.25" customHeight="1" x14ac:dyDescent="0.25">
      <c r="A167" s="5"/>
    </row>
    <row r="168" spans="1:1" x14ac:dyDescent="0.25">
      <c r="A168" s="5"/>
    </row>
    <row r="169" spans="1:1" x14ac:dyDescent="0.25">
      <c r="A169" s="5"/>
    </row>
    <row r="170" spans="1:1" x14ac:dyDescent="0.25">
      <c r="A170" s="5"/>
    </row>
    <row r="171" spans="1:1" x14ac:dyDescent="0.25">
      <c r="A171" s="5"/>
    </row>
    <row r="178" ht="25.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22.5" customHeight="1" x14ac:dyDescent="0.25"/>
    <row r="207" ht="15.75" customHeight="1" x14ac:dyDescent="0.25"/>
    <row r="208" ht="15.75" customHeight="1" x14ac:dyDescent="0.25"/>
    <row r="209" spans="15:23" ht="15.75" customHeight="1" x14ac:dyDescent="0.25"/>
    <row r="210" spans="15:23" ht="15.75" customHeight="1" x14ac:dyDescent="0.25"/>
    <row r="211" spans="15:23" ht="15.75" customHeight="1" x14ac:dyDescent="0.25">
      <c r="O211" s="8"/>
      <c r="P211" s="8"/>
      <c r="Q211" s="8"/>
      <c r="R211" s="8"/>
      <c r="S211" s="8"/>
      <c r="T211" s="8"/>
      <c r="U211" s="8"/>
      <c r="V211" s="8"/>
      <c r="W211" s="8"/>
    </row>
    <row r="212" spans="15:23" ht="15.75" customHeight="1" x14ac:dyDescent="0.25">
      <c r="O212" s="8"/>
      <c r="P212" s="8"/>
      <c r="Q212" s="8"/>
      <c r="R212" s="8"/>
      <c r="S212" s="8"/>
      <c r="T212" s="8"/>
      <c r="U212" s="8"/>
      <c r="V212" s="8"/>
      <c r="W212" s="8"/>
    </row>
  </sheetData>
  <sheetProtection algorithmName="SHA-512" hashValue="775AUd/17Qe/px7XpJtzWPdrWXjxTmGiMKUhkFK+0xiHoQoZY3sFFTb/poAhkWLdbK7WFzAqJ5E7FnjvZDe/Cg==" saltValue="Y1N8WfQ7+wbcY6XQZ3NdbA==" spinCount="100000" sheet="1" objects="1" scenarios="1"/>
  <mergeCells count="84">
    <mergeCell ref="L13:M13"/>
    <mergeCell ref="B15:K15"/>
    <mergeCell ref="B16:K16"/>
    <mergeCell ref="B17:K17"/>
    <mergeCell ref="B25:C26"/>
    <mergeCell ref="B23:K23"/>
    <mergeCell ref="B22:K22"/>
    <mergeCell ref="F25:G26"/>
    <mergeCell ref="H25:I26"/>
    <mergeCell ref="D25:E26"/>
    <mergeCell ref="L22:M22"/>
    <mergeCell ref="L23:M23"/>
    <mergeCell ref="L14:M14"/>
    <mergeCell ref="B14:K14"/>
    <mergeCell ref="L15:M15"/>
    <mergeCell ref="L16:M16"/>
    <mergeCell ref="L9:M9"/>
    <mergeCell ref="E2:U3"/>
    <mergeCell ref="L10:M10"/>
    <mergeCell ref="B11:M11"/>
    <mergeCell ref="L12:M12"/>
    <mergeCell ref="A25:A31"/>
    <mergeCell ref="B9:K9"/>
    <mergeCell ref="B12:K12"/>
    <mergeCell ref="B13:K13"/>
    <mergeCell ref="B10:K10"/>
    <mergeCell ref="F27:G31"/>
    <mergeCell ref="H27:I27"/>
    <mergeCell ref="H28:I28"/>
    <mergeCell ref="H29:I29"/>
    <mergeCell ref="B27:C27"/>
    <mergeCell ref="B28:C28"/>
    <mergeCell ref="B29:C29"/>
    <mergeCell ref="H30:I30"/>
    <mergeCell ref="H31:I31"/>
    <mergeCell ref="D27:E27"/>
    <mergeCell ref="D28:E28"/>
    <mergeCell ref="B37:D38"/>
    <mergeCell ref="D31:E31"/>
    <mergeCell ref="B59:B60"/>
    <mergeCell ref="B55:B56"/>
    <mergeCell ref="B51:B52"/>
    <mergeCell ref="B47:B48"/>
    <mergeCell ref="Q44:S44"/>
    <mergeCell ref="Q45:S45"/>
    <mergeCell ref="Q46:S46"/>
    <mergeCell ref="L27:V27"/>
    <mergeCell ref="L28:V28"/>
    <mergeCell ref="L29:V29"/>
    <mergeCell ref="L30:V30"/>
    <mergeCell ref="L31:V31"/>
    <mergeCell ref="L17:M17"/>
    <mergeCell ref="L18:M18"/>
    <mergeCell ref="L19:M19"/>
    <mergeCell ref="L20:M20"/>
    <mergeCell ref="L21:M21"/>
    <mergeCell ref="B18:K18"/>
    <mergeCell ref="B19:K19"/>
    <mergeCell ref="B20:K20"/>
    <mergeCell ref="B21:K21"/>
    <mergeCell ref="J31:K31"/>
    <mergeCell ref="B30:C30"/>
    <mergeCell ref="B31:C31"/>
    <mergeCell ref="Q49:S49"/>
    <mergeCell ref="T48:V48"/>
    <mergeCell ref="T49:V49"/>
    <mergeCell ref="T45:V45"/>
    <mergeCell ref="T46:V46"/>
    <mergeCell ref="V2:X3"/>
    <mergeCell ref="D65:E65"/>
    <mergeCell ref="A52:A64"/>
    <mergeCell ref="T47:V47"/>
    <mergeCell ref="T44:V44"/>
    <mergeCell ref="Q47:S47"/>
    <mergeCell ref="Q48:S48"/>
    <mergeCell ref="D29:E29"/>
    <mergeCell ref="D30:E30"/>
    <mergeCell ref="J25:K26"/>
    <mergeCell ref="L25:V26"/>
    <mergeCell ref="P51:V52"/>
    <mergeCell ref="J27:K27"/>
    <mergeCell ref="J28:K28"/>
    <mergeCell ref="J29:K29"/>
    <mergeCell ref="J30:K30"/>
  </mergeCells>
  <conditionalFormatting sqref="B22">
    <cfRule type="expression" dxfId="97" priority="165">
      <formula>B22=0</formula>
    </cfRule>
  </conditionalFormatting>
  <conditionalFormatting sqref="B58">
    <cfRule type="expression" dxfId="96" priority="231" stopIfTrue="1">
      <formula>B59&gt;0</formula>
    </cfRule>
  </conditionalFormatting>
  <conditionalFormatting sqref="B75:F75 B79:F79 B77:D77">
    <cfRule type="expression" dxfId="95" priority="223">
      <formula>$H$31=185</formula>
    </cfRule>
  </conditionalFormatting>
  <conditionalFormatting sqref="B102:F102 B104:D104 B106:F106">
    <cfRule type="expression" dxfId="94" priority="328">
      <formula>$Z$102=3</formula>
    </cfRule>
  </conditionalFormatting>
  <conditionalFormatting sqref="B111:F111 B113:D113 B115:F115">
    <cfRule type="expression" dxfId="93" priority="82">
      <formula>$L$19&gt;2</formula>
    </cfRule>
  </conditionalFormatting>
  <conditionalFormatting sqref="B129:F129 B133:F133 B131:D131">
    <cfRule type="expression" dxfId="92" priority="33">
      <formula>$Z$136=3</formula>
    </cfRule>
  </conditionalFormatting>
  <conditionalFormatting sqref="B138:F138 B140:D140 B142:F142">
    <cfRule type="expression" dxfId="91" priority="22">
      <formula>$Z$136&gt;0</formula>
    </cfRule>
  </conditionalFormatting>
  <conditionalFormatting sqref="B46:L46">
    <cfRule type="expression" dxfId="90" priority="184">
      <formula>$L$19&gt;4</formula>
    </cfRule>
  </conditionalFormatting>
  <conditionalFormatting sqref="B50:L50">
    <cfRule type="expression" dxfId="89" priority="183">
      <formula>$L$19&gt;3</formula>
    </cfRule>
  </conditionalFormatting>
  <conditionalFormatting sqref="B54:L54">
    <cfRule type="expression" dxfId="88" priority="185">
      <formula>$L$19&gt;2</formula>
    </cfRule>
  </conditionalFormatting>
  <conditionalFormatting sqref="D27">
    <cfRule type="expression" dxfId="87" priority="162">
      <formula>AND($C$17&gt;4, $C$17&lt;6)</formula>
    </cfRule>
  </conditionalFormatting>
  <conditionalFormatting sqref="D28">
    <cfRule type="expression" dxfId="86" priority="163">
      <formula>AND($C$17&gt;3, $C$17&lt;6)</formula>
    </cfRule>
  </conditionalFormatting>
  <conditionalFormatting sqref="D29">
    <cfRule type="expression" dxfId="85" priority="164">
      <formula>AND($C$17&gt;2, $C$17&lt;6)</formula>
    </cfRule>
  </conditionalFormatting>
  <conditionalFormatting sqref="D30">
    <cfRule type="expression" dxfId="84" priority="161">
      <formula>AND($C$17&gt;0, $C$17&lt;6)</formula>
    </cfRule>
  </conditionalFormatting>
  <conditionalFormatting sqref="D44:D51">
    <cfRule type="expression" dxfId="83" priority="127">
      <formula>$L$19&gt;3</formula>
    </cfRule>
  </conditionalFormatting>
  <conditionalFormatting sqref="D58">
    <cfRule type="expression" dxfId="82" priority="168" stopIfTrue="1">
      <formula>B58&gt;0</formula>
    </cfRule>
  </conditionalFormatting>
  <conditionalFormatting sqref="D74:D82">
    <cfRule type="expression" dxfId="81" priority="122">
      <formula>$H$31=185</formula>
    </cfRule>
  </conditionalFormatting>
  <conditionalFormatting sqref="D101:D109">
    <cfRule type="expression" dxfId="80" priority="331">
      <formula>$Z$102=3</formula>
    </cfRule>
  </conditionalFormatting>
  <conditionalFormatting sqref="D110:D119">
    <cfRule type="expression" dxfId="79" priority="77">
      <formula>$L$19&gt;2</formula>
    </cfRule>
  </conditionalFormatting>
  <conditionalFormatting sqref="D128:D136">
    <cfRule type="expression" dxfId="78" priority="28">
      <formula>$Z$136=3</formula>
    </cfRule>
  </conditionalFormatting>
  <conditionalFormatting sqref="D137:D146">
    <cfRule type="expression" dxfId="77" priority="17">
      <formula>$Z$136&gt;0</formula>
    </cfRule>
  </conditionalFormatting>
  <conditionalFormatting sqref="D73:J73">
    <cfRule type="expression" dxfId="76" priority="120">
      <formula>$H$31=185</formula>
    </cfRule>
  </conditionalFormatting>
  <conditionalFormatting sqref="D82:J82">
    <cfRule type="expression" dxfId="75" priority="123">
      <formula>$H$31&lt;180</formula>
    </cfRule>
  </conditionalFormatting>
  <conditionalFormatting sqref="D100:J100">
    <cfRule type="expression" dxfId="74" priority="332">
      <formula>$Z$102=3</formula>
    </cfRule>
  </conditionalFormatting>
  <conditionalFormatting sqref="D109:J109">
    <cfRule type="expression" dxfId="73" priority="333">
      <formula>OR($Z$102=1,$Z$102=2)</formula>
    </cfRule>
  </conditionalFormatting>
  <conditionalFormatting sqref="D119:J119">
    <cfRule type="expression" dxfId="72" priority="78">
      <formula>$L$19&gt;2</formula>
    </cfRule>
  </conditionalFormatting>
  <conditionalFormatting sqref="D127:J127">
    <cfRule type="expression" dxfId="71" priority="26">
      <formula>$Z$136=3</formula>
    </cfRule>
  </conditionalFormatting>
  <conditionalFormatting sqref="D136:J136">
    <cfRule type="expression" dxfId="70" priority="29">
      <formula>OR($Z$136=1,$Z$136=2)</formula>
    </cfRule>
  </conditionalFormatting>
  <conditionalFormatting sqref="D146:J146">
    <cfRule type="expression" dxfId="69" priority="18">
      <formula>$Z$136&gt;0</formula>
    </cfRule>
  </conditionalFormatting>
  <conditionalFormatting sqref="D44:M44">
    <cfRule type="expression" dxfId="68" priority="124">
      <formula>$L$19&gt;3</formula>
    </cfRule>
  </conditionalFormatting>
  <conditionalFormatting sqref="D51:M51">
    <cfRule type="expression" dxfId="67" priority="128">
      <formula>$L$19&lt;4</formula>
    </cfRule>
  </conditionalFormatting>
  <conditionalFormatting sqref="E46:E49 H46:H49 K46:K49">
    <cfRule type="expression" dxfId="66" priority="186">
      <formula>$L$19&gt;4</formula>
    </cfRule>
  </conditionalFormatting>
  <conditionalFormatting sqref="E50:E53 H50:H53 K50:K53">
    <cfRule type="expression" dxfId="65" priority="189">
      <formula>$L$19&gt;3</formula>
    </cfRule>
  </conditionalFormatting>
  <conditionalFormatting sqref="E54:E57 H54:H57 K54:K57 E115:E121">
    <cfRule type="expression" dxfId="64" priority="192">
      <formula>$L$19&gt;2</formula>
    </cfRule>
  </conditionalFormatting>
  <conditionalFormatting sqref="E142:E148 G144:G148">
    <cfRule type="expression" dxfId="63" priority="19">
      <formula>$Z$136&gt;0</formula>
    </cfRule>
  </conditionalFormatting>
  <conditionalFormatting sqref="E75:F75 E79:F79">
    <cfRule type="expression" dxfId="62" priority="221">
      <formula>$H$31=185</formula>
    </cfRule>
  </conditionalFormatting>
  <conditionalFormatting sqref="E102:F102 E106:F106">
    <cfRule type="expression" dxfId="61" priority="334">
      <formula>$Z$102=3</formula>
    </cfRule>
  </conditionalFormatting>
  <conditionalFormatting sqref="E129:F129 E133:F133">
    <cfRule type="expression" dxfId="60" priority="32">
      <formula>$Z$136=3</formula>
    </cfRule>
  </conditionalFormatting>
  <conditionalFormatting sqref="G75 E77 G77 G79">
    <cfRule type="expression" dxfId="59" priority="213">
      <formula>$H$31=185</formula>
    </cfRule>
  </conditionalFormatting>
  <conditionalFormatting sqref="G102 E104 G104 G106">
    <cfRule type="expression" dxfId="58" priority="336">
      <formula>$Z$102=3</formula>
    </cfRule>
  </conditionalFormatting>
  <conditionalFormatting sqref="G111 E113 G113 G115">
    <cfRule type="expression" dxfId="57" priority="81">
      <formula>$L$19&gt;2</formula>
    </cfRule>
  </conditionalFormatting>
  <conditionalFormatting sqref="G117:G121">
    <cfRule type="expression" dxfId="56" priority="79">
      <formula>$L$19&gt;2</formula>
    </cfRule>
  </conditionalFormatting>
  <conditionalFormatting sqref="G129 E131 G131 G133">
    <cfRule type="expression" dxfId="55" priority="30">
      <formula>$Z$136=3</formula>
    </cfRule>
  </conditionalFormatting>
  <conditionalFormatting sqref="G138 E140 G140 G142">
    <cfRule type="expression" dxfId="54" priority="21">
      <formula>$Z$136&gt;0</formula>
    </cfRule>
  </conditionalFormatting>
  <conditionalFormatting sqref="H76 F78 H78 H80">
    <cfRule type="expression" dxfId="53" priority="217">
      <formula>$H$31=185</formula>
    </cfRule>
  </conditionalFormatting>
  <conditionalFormatting sqref="H103 F105 H105 H107">
    <cfRule type="expression" dxfId="52" priority="340">
      <formula>$Z$102=3</formula>
    </cfRule>
  </conditionalFormatting>
  <conditionalFormatting sqref="H112 F114 H114 H116">
    <cfRule type="expression" dxfId="51" priority="80">
      <formula>$L$19&gt;2</formula>
    </cfRule>
  </conditionalFormatting>
  <conditionalFormatting sqref="H130 F132 H132 H134">
    <cfRule type="expression" dxfId="50" priority="31">
      <formula>$Z$136=3</formula>
    </cfRule>
  </conditionalFormatting>
  <conditionalFormatting sqref="H139 F141 H141 H143">
    <cfRule type="expression" dxfId="49" priority="20">
      <formula>$Z$136&gt;0</formula>
    </cfRule>
  </conditionalFormatting>
  <conditionalFormatting sqref="L22">
    <cfRule type="expression" dxfId="48" priority="159">
      <formula>B22=0</formula>
    </cfRule>
  </conditionalFormatting>
  <conditionalFormatting sqref="L23">
    <cfRule type="cellIs" dxfId="47" priority="160" operator="equal">
      <formula>0</formula>
    </cfRule>
    <cfRule type="colorScale" priority="166">
      <colorScale>
        <cfvo type="num" val="-0.1"/>
        <cfvo type="num" val="0"/>
        <cfvo type="num" val="1"/>
        <color rgb="FFFF0000"/>
        <color theme="9"/>
        <color rgb="FFFFFF00"/>
      </colorScale>
    </cfRule>
  </conditionalFormatting>
  <conditionalFormatting sqref="M44:M51">
    <cfRule type="expression" dxfId="46" priority="126">
      <formula>$L$19&gt;3</formula>
    </cfRule>
  </conditionalFormatting>
  <conditionalFormatting sqref="N75:R75 N79:R79 N77:P77">
    <cfRule type="expression" dxfId="45" priority="111">
      <formula>$H$30=185</formula>
    </cfRule>
  </conditionalFormatting>
  <conditionalFormatting sqref="N102:R102 N104:P104 N106:R106">
    <cfRule type="expression" dxfId="44" priority="341">
      <formula>$Z$114=3</formula>
    </cfRule>
  </conditionalFormatting>
  <conditionalFormatting sqref="N111:R111 N113:P113 N115:R115">
    <cfRule type="expression" dxfId="43" priority="344">
      <formula>$Z$114&gt;0</formula>
    </cfRule>
  </conditionalFormatting>
  <conditionalFormatting sqref="P74:P82">
    <cfRule type="expression" dxfId="42" priority="106">
      <formula>$H$30=185</formula>
    </cfRule>
  </conditionalFormatting>
  <conditionalFormatting sqref="P101:P109">
    <cfRule type="expression" dxfId="41" priority="347">
      <formula>$Z$114=3</formula>
    </cfRule>
  </conditionalFormatting>
  <conditionalFormatting sqref="P110:P119">
    <cfRule type="expression" dxfId="40" priority="348">
      <formula>$Z$114&gt;0</formula>
    </cfRule>
  </conditionalFormatting>
  <conditionalFormatting sqref="P73:V73">
    <cfRule type="expression" dxfId="39" priority="104">
      <formula>$H$30=185</formula>
    </cfRule>
  </conditionalFormatting>
  <conditionalFormatting sqref="P82:V82">
    <cfRule type="expression" dxfId="38" priority="107">
      <formula>$H$30&lt;185</formula>
    </cfRule>
  </conditionalFormatting>
  <conditionalFormatting sqref="P100:V100">
    <cfRule type="expression" dxfId="37" priority="349">
      <formula>$Z$114=3</formula>
    </cfRule>
  </conditionalFormatting>
  <conditionalFormatting sqref="P109:V109">
    <cfRule type="expression" dxfId="36" priority="350">
      <formula>OR($Z$114=1,$Z$114=2)</formula>
    </cfRule>
  </conditionalFormatting>
  <conditionalFormatting sqref="P119:V119">
    <cfRule type="expression" dxfId="35" priority="351">
      <formula>$Z$114&gt;0</formula>
    </cfRule>
  </conditionalFormatting>
  <conditionalFormatting sqref="Q115:Q121 S117:S121">
    <cfRule type="expression" dxfId="34" priority="352">
      <formula>$Z$114&gt;0</formula>
    </cfRule>
  </conditionalFormatting>
  <conditionalFormatting sqref="Q75:R75 Q79:R79">
    <cfRule type="expression" dxfId="33" priority="110">
      <formula>$H$30=185</formula>
    </cfRule>
  </conditionalFormatting>
  <conditionalFormatting sqref="Q102:R102 Q106:R106">
    <cfRule type="expression" dxfId="32" priority="354">
      <formula>$Z$114=3</formula>
    </cfRule>
  </conditionalFormatting>
  <conditionalFormatting sqref="S75 Q77 S77 S79">
    <cfRule type="expression" dxfId="31" priority="108">
      <formula>$H$30=185</formula>
    </cfRule>
  </conditionalFormatting>
  <conditionalFormatting sqref="S102 Q104 S104 S106">
    <cfRule type="expression" dxfId="30" priority="356">
      <formula>$Z$114=3</formula>
    </cfRule>
  </conditionalFormatting>
  <conditionalFormatting sqref="S111 Q113 S113 S115">
    <cfRule type="expression" dxfId="29" priority="360">
      <formula>$Z$114&gt;0</formula>
    </cfRule>
  </conditionalFormatting>
  <conditionalFormatting sqref="T47:T48">
    <cfRule type="expression" dxfId="28" priority="195">
      <formula>$L$19&gt;2</formula>
    </cfRule>
  </conditionalFormatting>
  <conditionalFormatting sqref="T76 R78 T78 T80">
    <cfRule type="expression" dxfId="27" priority="109">
      <formula>$H$30=185</formula>
    </cfRule>
  </conditionalFormatting>
  <conditionalFormatting sqref="T103 R105 T105 T107">
    <cfRule type="expression" dxfId="26" priority="364">
      <formula>$Z$114=3</formula>
    </cfRule>
  </conditionalFormatting>
  <conditionalFormatting sqref="T112 R114 T114 T116">
    <cfRule type="expression" dxfId="25" priority="368">
      <formula>$Z$114&gt;0</formula>
    </cfRule>
  </conditionalFormatting>
  <dataValidations count="21">
    <dataValidation type="whole" allowBlank="1" showInputMessage="1" showErrorMessage="1" sqref="L16:L17" xr:uid="{CF9A0058-AE65-4E5F-A310-4067D0CE36C1}">
      <formula1>0</formula1>
      <formula2>18</formula2>
    </dataValidation>
    <dataValidation type="list" allowBlank="1" showInputMessage="1" showErrorMessage="1" sqref="L19" xr:uid="{FDD083FF-912E-46DF-8F08-C81672ED54E8}">
      <formula1>"2,3,4,5"</formula1>
    </dataValidation>
    <dataValidation type="list" operator="lessThan" allowBlank="1" showInputMessage="1" showErrorMessage="1" sqref="L18" xr:uid="{3200723D-DF1F-4E19-BB59-3FDED7D86C31}">
      <formula1>"270,300,350,400,450,500,550"</formula1>
    </dataValidation>
    <dataValidation type="whole" allowBlank="1" showInputMessage="1" showErrorMessage="1" sqref="L15" xr:uid="{92E5888D-BE31-4B35-BA3A-2EE7BE8A78B9}">
      <formula1>0</formula1>
      <formula2>10</formula2>
    </dataValidation>
    <dataValidation type="whole" operator="greaterThanOrEqual" allowBlank="1" showInputMessage="1" showErrorMessage="1" sqref="L14" xr:uid="{3BFEC5C5-2F31-4FC8-B1B0-9200D145F115}">
      <formula1>0</formula1>
    </dataValidation>
    <dataValidation type="whole" allowBlank="1" showInputMessage="1" showErrorMessage="1" sqref="L12:L13" xr:uid="{EB3E2D49-23BE-4DD8-84DF-E32C61D50ED9}">
      <formula1>14</formula1>
      <formula2>22</formula2>
    </dataValidation>
    <dataValidation type="whole" allowBlank="1" showInputMessage="1" showErrorMessage="1" error="MAX 1200" sqref="L10" xr:uid="{CA1CC8CA-D4AA-45FC-B20B-B2F60A599F99}">
      <formula1>200</formula1>
      <formula2>1200</formula2>
    </dataValidation>
    <dataValidation type="whole" allowBlank="1" showInputMessage="1" showErrorMessage="1" error="MAX 1200" sqref="L9" xr:uid="{6F6CD661-2347-4438-A54B-5B244DEADD42}">
      <formula1>50</formula1>
      <formula2>1200</formula2>
    </dataValidation>
    <dataValidation type="list" allowBlank="1" showInputMessage="1" showErrorMessage="1" sqref="F27" xr:uid="{26998918-3252-474B-AF5B-16729CEA646E}">
      <formula1>$AD$5:$AD$6</formula1>
    </dataValidation>
    <dataValidation type="list" allowBlank="1" showInputMessage="1" showErrorMessage="1" sqref="L20" xr:uid="{E444C165-0572-4C60-80CD-E5734DC913FE}">
      <formula1>$AE$5:$AE$6</formula1>
    </dataValidation>
    <dataValidation type="whole" operator="greaterThanOrEqual" allowBlank="1" showInputMessage="1" showErrorMessage="1" sqref="D27:E27" xr:uid="{F13D3C99-848C-4F31-98C0-FDA07E4DC7C9}">
      <formula1>AE12+L12-L14</formula1>
    </dataValidation>
    <dataValidation type="whole" allowBlank="1" showInputMessage="1" showErrorMessage="1" sqref="D30:E30" xr:uid="{8C43C984-B7E2-42B9-AB48-85AF5A4EF34D}">
      <formula1>AE12</formula1>
      <formula2>1000</formula2>
    </dataValidation>
    <dataValidation type="whole" operator="greaterThanOrEqual" allowBlank="1" showInputMessage="1" showErrorMessage="1" sqref="D28:E28" xr:uid="{9CBE9F28-32F9-4681-A7A1-1C9410EED9E7}">
      <formula1>IF(L19=4,AE12+L12-L14,AE12)</formula1>
    </dataValidation>
    <dataValidation type="whole" operator="greaterThan" allowBlank="1" showInputMessage="1" showErrorMessage="1" sqref="D29:E29" xr:uid="{FD285001-6B72-4F49-BAA8-609B8E7D243A}">
      <formula1>IF(L19=3,AE12+L12-L14,AE12)</formula1>
    </dataValidation>
    <dataValidation type="list" allowBlank="1" showInputMessage="1" showErrorMessage="1" sqref="H27" xr:uid="{3BCB4023-91AF-47A8-B7F0-13837A004A3A}">
      <formula1>IF(AB27=AA5,TŘI_VÝŠKY,IF(AB27=Z5,DVĚ_VÝŠKY,JEDNA_VÝŠKA))</formula1>
    </dataValidation>
    <dataValidation type="list" allowBlank="1" showInputMessage="1" showErrorMessage="1" sqref="H28" xr:uid="{F6D6952D-F35B-485F-BC4A-64CE91BD2598}">
      <formula1>IF(AB28=AA5,TŘI_VÝŠKY,IF(AB28=Z5,DVĚ_VÝŠKY,JEDNA_VÝŠKA))</formula1>
    </dataValidation>
    <dataValidation type="list" allowBlank="1" showInputMessage="1" showErrorMessage="1" sqref="H29" xr:uid="{9E754692-C58B-4CF9-BDFF-D2AB6CF585B8}">
      <formula1>IF(AB29=AA5,TŘI_VÝŠKY,IF(AB29=Z5,DVĚ_VÝŠKY,JEDNA_VÝŠKA))</formula1>
    </dataValidation>
    <dataValidation type="list" allowBlank="1" showInputMessage="1" showErrorMessage="1" sqref="H30" xr:uid="{2C4BDE42-3227-400D-80F2-17E70FD953E6}">
      <formula1>IF(AB30=AA5,TŘI_VÝŠKY,IF(AB30=Z5,DVĚ_VÝŠKY,JEDNA_VÝŠKA))</formula1>
    </dataValidation>
    <dataValidation type="list" allowBlank="1" showInputMessage="1" showErrorMessage="1" sqref="H31" xr:uid="{317D51D4-059D-4A5C-8D3D-7DD6AF1A4225}">
      <formula1>IF(AB31=AA5,TŘI_VÝŠKY,IF(AB31=Z5,DVĚ_VÝŠKY,JEDNA_VÝŠKA))</formula1>
    </dataValidation>
    <dataValidation type="whole" allowBlank="1" showInputMessage="1" showErrorMessage="1" sqref="D31:E31" xr:uid="{0EC79789-9F31-481F-8D92-0E10D6F7B42B}">
      <formula1>AE12+(L12-L16)</formula1>
      <formula2>1000</formula2>
    </dataValidation>
    <dataValidation type="whole" allowBlank="1" showInputMessage="1" showErrorMessage="1" sqref="L22:M22" xr:uid="{35E4A3E1-056A-454E-964B-B44CAF46BD96}">
      <formula1>1</formula1>
      <formula2>150</formula2>
    </dataValidation>
  </dataValidations>
  <hyperlinks>
    <hyperlink ref="B37:D38" location="Menu!A1" display="Menu!A1" xr:uid="{D9FAA402-FAC6-4D68-A9A1-8EA94903454A}"/>
    <hyperlink ref="V2:W3" location="Úvod!A1" display="Úvod!A1" xr:uid="{C12B41CB-CCA2-42AC-838F-6A0869AFC755}"/>
  </hyperlinks>
  <printOptions verticalCentered="1"/>
  <pageMargins left="0.23622047244094491" right="3.937007874015748E-2" top="0.23622047244094491" bottom="0.23622047244094491" header="0" footer="0"/>
  <pageSetup paperSize="9" scale="86" fitToHeight="7" orientation="landscape" verticalDpi="6" r:id="rId1"/>
  <rowBreaks count="7" manualBreakCount="7">
    <brk id="40" max="16383" man="1"/>
    <brk id="69" max="16383" man="1"/>
    <brk id="98" max="16383" man="1"/>
    <brk id="127" max="16383" man="1"/>
    <brk id="156" max="16383" man="1"/>
    <brk id="185" max="16383" man="1"/>
    <brk id="299" max="22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8852CA-04E1-4DF0-BF49-EE65E24CD59E}">
          <x14:formula1>
            <xm:f>Překlady!$C$67:$C$68</xm:f>
          </x14:formula1>
          <xm:sqref>L21:M21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C754E-E049-4DA6-94D2-ADFA2E8049AE}">
  <dimension ref="B1:O51"/>
  <sheetViews>
    <sheetView workbookViewId="0"/>
  </sheetViews>
  <sheetFormatPr defaultRowHeight="15" x14ac:dyDescent="0.25"/>
  <cols>
    <col min="4" max="4" width="4.85546875" customWidth="1"/>
    <col min="12" max="12" width="5.42578125" customWidth="1"/>
  </cols>
  <sheetData>
    <row r="1" spans="2:15" ht="15.75" thickBot="1" x14ac:dyDescent="0.3"/>
    <row r="2" spans="2:15" ht="14.25" customHeight="1" x14ac:dyDescent="0.25">
      <c r="B2" s="393">
        <v>18</v>
      </c>
      <c r="C2">
        <v>3</v>
      </c>
      <c r="D2" s="375"/>
      <c r="E2" s="376"/>
      <c r="F2" s="376"/>
      <c r="G2" s="376"/>
      <c r="H2" s="376"/>
      <c r="I2" s="376"/>
      <c r="J2" s="376"/>
      <c r="K2" s="376"/>
      <c r="L2" s="377"/>
      <c r="O2">
        <f>N3+D50+C2</f>
        <v>1000</v>
      </c>
    </row>
    <row r="3" spans="2:15" ht="24" customHeight="1" thickBot="1" x14ac:dyDescent="0.3">
      <c r="B3" s="393"/>
      <c r="C3">
        <v>15</v>
      </c>
      <c r="D3" s="378"/>
      <c r="E3" s="379"/>
      <c r="F3" s="380"/>
      <c r="G3" s="380"/>
      <c r="H3" s="380"/>
      <c r="I3" s="380"/>
      <c r="J3" s="380"/>
      <c r="K3" s="381"/>
      <c r="L3" s="382"/>
      <c r="M3" s="31"/>
      <c r="N3" s="31">
        <f>N11+D10+K6</f>
        <v>979</v>
      </c>
    </row>
    <row r="4" spans="2:15" ht="10.5" customHeight="1" x14ac:dyDescent="0.25">
      <c r="D4" s="383"/>
      <c r="E4" s="226"/>
      <c r="K4" s="126"/>
      <c r="L4" s="384"/>
    </row>
    <row r="5" spans="2:15" x14ac:dyDescent="0.25">
      <c r="D5" s="383"/>
      <c r="E5" s="226"/>
      <c r="K5" s="126"/>
      <c r="L5" s="384"/>
    </row>
    <row r="6" spans="2:15" x14ac:dyDescent="0.25">
      <c r="D6" s="383"/>
      <c r="E6" s="226"/>
      <c r="K6" s="126">
        <v>173</v>
      </c>
      <c r="L6" s="384"/>
    </row>
    <row r="7" spans="2:15" x14ac:dyDescent="0.25">
      <c r="D7" s="383"/>
      <c r="E7" s="226"/>
      <c r="K7" s="126"/>
      <c r="L7" s="384"/>
    </row>
    <row r="8" spans="2:15" x14ac:dyDescent="0.25">
      <c r="C8" s="31">
        <f>N11+D10+D9+D8</f>
        <v>848</v>
      </c>
      <c r="D8" s="385">
        <v>37</v>
      </c>
      <c r="E8" s="225"/>
      <c r="K8" s="126"/>
      <c r="L8" s="384"/>
    </row>
    <row r="9" spans="2:15" x14ac:dyDescent="0.25">
      <c r="D9" s="383">
        <v>5</v>
      </c>
      <c r="E9" s="227"/>
      <c r="F9" s="114"/>
      <c r="G9" s="114"/>
      <c r="H9" s="114"/>
      <c r="I9" s="114"/>
      <c r="J9" s="114"/>
      <c r="K9" s="213"/>
      <c r="L9" s="384"/>
    </row>
    <row r="10" spans="2:15" x14ac:dyDescent="0.25">
      <c r="D10" s="383">
        <v>4</v>
      </c>
      <c r="L10" s="384"/>
    </row>
    <row r="11" spans="2:15" x14ac:dyDescent="0.25">
      <c r="D11" s="383"/>
      <c r="E11" s="225"/>
      <c r="F11" s="31"/>
      <c r="G11" s="31"/>
      <c r="H11" s="31"/>
      <c r="I11" s="31"/>
      <c r="J11" s="31"/>
      <c r="K11" s="212"/>
      <c r="L11" s="386"/>
      <c r="M11" s="31"/>
      <c r="N11" s="31">
        <f>N22+D21+K16</f>
        <v>802</v>
      </c>
    </row>
    <row r="12" spans="2:15" x14ac:dyDescent="0.25">
      <c r="D12" s="383"/>
      <c r="E12" s="226"/>
      <c r="K12" s="126"/>
      <c r="L12" s="384"/>
    </row>
    <row r="13" spans="2:15" x14ac:dyDescent="0.25">
      <c r="D13" s="383"/>
      <c r="E13" s="226"/>
      <c r="K13" s="126"/>
      <c r="L13" s="384"/>
    </row>
    <row r="14" spans="2:15" x14ac:dyDescent="0.25">
      <c r="D14" s="383"/>
      <c r="E14" s="226"/>
      <c r="K14" s="126"/>
      <c r="L14" s="384"/>
    </row>
    <row r="15" spans="2:15" x14ac:dyDescent="0.25">
      <c r="D15" s="383"/>
      <c r="E15" s="226"/>
      <c r="K15" s="126"/>
      <c r="L15" s="384"/>
    </row>
    <row r="16" spans="2:15" x14ac:dyDescent="0.25">
      <c r="D16" s="383"/>
      <c r="E16" s="226"/>
      <c r="K16" s="126">
        <v>180</v>
      </c>
      <c r="L16" s="384"/>
    </row>
    <row r="17" spans="3:14" x14ac:dyDescent="0.25">
      <c r="D17" s="383"/>
      <c r="E17" s="226"/>
      <c r="K17" s="126"/>
      <c r="L17" s="384"/>
    </row>
    <row r="18" spans="3:14" x14ac:dyDescent="0.25">
      <c r="C18" s="31">
        <f>N22+D21+D20+D19</f>
        <v>664</v>
      </c>
      <c r="D18" s="385"/>
      <c r="E18" s="225"/>
      <c r="K18" s="126"/>
      <c r="L18" s="384"/>
    </row>
    <row r="19" spans="3:14" x14ac:dyDescent="0.25">
      <c r="D19" s="383">
        <v>37</v>
      </c>
      <c r="E19" s="226"/>
      <c r="K19" s="126"/>
      <c r="L19" s="384"/>
    </row>
    <row r="20" spans="3:14" x14ac:dyDescent="0.25">
      <c r="D20" s="383">
        <v>5</v>
      </c>
      <c r="E20" s="227"/>
      <c r="F20" s="114"/>
      <c r="G20" s="114"/>
      <c r="H20" s="114"/>
      <c r="I20" s="114"/>
      <c r="J20" s="114"/>
      <c r="K20" s="213"/>
      <c r="L20" s="384"/>
    </row>
    <row r="21" spans="3:14" x14ac:dyDescent="0.25">
      <c r="D21" s="383">
        <v>4</v>
      </c>
      <c r="L21" s="384"/>
    </row>
    <row r="22" spans="3:14" x14ac:dyDescent="0.25">
      <c r="D22" s="383"/>
      <c r="E22" s="225"/>
      <c r="F22" s="31"/>
      <c r="G22" s="31"/>
      <c r="H22" s="31"/>
      <c r="I22" s="31"/>
      <c r="J22" s="31"/>
      <c r="K22" s="212"/>
      <c r="L22" s="386"/>
      <c r="M22" s="31"/>
      <c r="N22" s="31">
        <f>N32+D31+K26</f>
        <v>618</v>
      </c>
    </row>
    <row r="23" spans="3:14" x14ac:dyDescent="0.25">
      <c r="D23" s="383"/>
      <c r="E23" s="226"/>
      <c r="K23" s="126"/>
      <c r="L23" s="384"/>
    </row>
    <row r="24" spans="3:14" x14ac:dyDescent="0.25">
      <c r="D24" s="383"/>
      <c r="E24" s="226"/>
      <c r="K24" s="126"/>
      <c r="L24" s="384"/>
    </row>
    <row r="25" spans="3:14" x14ac:dyDescent="0.25">
      <c r="D25" s="383"/>
      <c r="E25" s="226"/>
      <c r="K25" s="126"/>
      <c r="L25" s="384"/>
    </row>
    <row r="26" spans="3:14" x14ac:dyDescent="0.25">
      <c r="D26" s="383"/>
      <c r="E26" s="226"/>
      <c r="K26" s="126">
        <v>180</v>
      </c>
      <c r="L26" s="384"/>
    </row>
    <row r="27" spans="3:14" x14ac:dyDescent="0.25">
      <c r="D27" s="383"/>
      <c r="E27" s="226"/>
      <c r="K27" s="126"/>
      <c r="L27" s="384"/>
    </row>
    <row r="28" spans="3:14" x14ac:dyDescent="0.25">
      <c r="D28" s="383"/>
      <c r="E28" s="226"/>
      <c r="K28" s="126"/>
      <c r="L28" s="384"/>
    </row>
    <row r="29" spans="3:14" x14ac:dyDescent="0.25">
      <c r="C29" s="31">
        <f>N32+D31+D30+D29</f>
        <v>480</v>
      </c>
      <c r="D29" s="385">
        <v>37</v>
      </c>
      <c r="E29" s="225"/>
      <c r="K29" s="126"/>
      <c r="L29" s="384"/>
    </row>
    <row r="30" spans="3:14" x14ac:dyDescent="0.25">
      <c r="D30" s="383">
        <v>5</v>
      </c>
      <c r="E30" s="227"/>
      <c r="F30" s="114"/>
      <c r="G30" s="114"/>
      <c r="H30" s="114"/>
      <c r="I30" s="114"/>
      <c r="J30" s="114"/>
      <c r="K30" s="213"/>
      <c r="L30" s="384"/>
    </row>
    <row r="31" spans="3:14" x14ac:dyDescent="0.25">
      <c r="D31" s="383">
        <v>4</v>
      </c>
      <c r="L31" s="384"/>
    </row>
    <row r="32" spans="3:14" x14ac:dyDescent="0.25">
      <c r="D32" s="383"/>
      <c r="E32" s="225"/>
      <c r="F32" s="31"/>
      <c r="G32" s="31"/>
      <c r="H32" s="31"/>
      <c r="I32" s="31"/>
      <c r="J32" s="31"/>
      <c r="K32" s="212"/>
      <c r="L32" s="386"/>
      <c r="M32" s="31"/>
      <c r="N32" s="31">
        <f>N44+D43+K37</f>
        <v>434</v>
      </c>
    </row>
    <row r="33" spans="3:14" x14ac:dyDescent="0.25">
      <c r="D33" s="383"/>
      <c r="E33" s="226"/>
      <c r="K33" s="126"/>
      <c r="L33" s="384"/>
    </row>
    <row r="34" spans="3:14" x14ac:dyDescent="0.25">
      <c r="D34" s="383"/>
      <c r="E34" s="226"/>
      <c r="K34" s="126"/>
      <c r="L34" s="384"/>
    </row>
    <row r="35" spans="3:14" x14ac:dyDescent="0.25">
      <c r="D35" s="383"/>
      <c r="E35" s="226"/>
      <c r="K35" s="126"/>
      <c r="L35" s="384"/>
    </row>
    <row r="36" spans="3:14" x14ac:dyDescent="0.25">
      <c r="D36" s="383"/>
      <c r="E36" s="226"/>
      <c r="K36" s="126"/>
      <c r="L36" s="384"/>
    </row>
    <row r="37" spans="3:14" x14ac:dyDescent="0.25">
      <c r="D37" s="383"/>
      <c r="E37" s="226"/>
      <c r="K37" s="126">
        <v>200</v>
      </c>
      <c r="L37" s="384"/>
    </row>
    <row r="38" spans="3:14" x14ac:dyDescent="0.25">
      <c r="D38" s="383"/>
      <c r="E38" s="226"/>
      <c r="K38" s="126"/>
      <c r="L38" s="384"/>
    </row>
    <row r="39" spans="3:14" x14ac:dyDescent="0.25">
      <c r="D39" s="383"/>
      <c r="E39" s="226"/>
      <c r="K39" s="126"/>
      <c r="L39" s="384"/>
    </row>
    <row r="40" spans="3:14" x14ac:dyDescent="0.25">
      <c r="D40" s="383"/>
      <c r="E40" s="226"/>
      <c r="K40" s="126"/>
      <c r="L40" s="384"/>
    </row>
    <row r="41" spans="3:14" x14ac:dyDescent="0.25">
      <c r="C41" s="31">
        <f>N44+D43+D42+D41</f>
        <v>276</v>
      </c>
      <c r="D41" s="385">
        <v>37</v>
      </c>
      <c r="E41" s="225"/>
      <c r="K41" s="126"/>
      <c r="L41" s="384"/>
    </row>
    <row r="42" spans="3:14" x14ac:dyDescent="0.25">
      <c r="D42" s="383">
        <v>5</v>
      </c>
      <c r="E42" s="227"/>
      <c r="F42" s="114"/>
      <c r="G42" s="114"/>
      <c r="H42" s="114"/>
      <c r="I42" s="114"/>
      <c r="J42" s="114"/>
      <c r="K42" s="213"/>
      <c r="L42" s="384"/>
    </row>
    <row r="43" spans="3:14" x14ac:dyDescent="0.25">
      <c r="D43" s="383">
        <v>4</v>
      </c>
      <c r="L43" s="384"/>
    </row>
    <row r="44" spans="3:14" x14ac:dyDescent="0.25">
      <c r="D44" s="383"/>
      <c r="E44" s="225"/>
      <c r="F44" s="31"/>
      <c r="G44" s="31"/>
      <c r="H44" s="31"/>
      <c r="I44" s="31"/>
      <c r="J44" s="31"/>
      <c r="K44" s="212"/>
      <c r="L44" s="386"/>
      <c r="M44" s="31"/>
      <c r="N44" s="31">
        <f>K47-D51-D50</f>
        <v>230</v>
      </c>
    </row>
    <row r="45" spans="3:14" x14ac:dyDescent="0.25">
      <c r="D45" s="383"/>
      <c r="E45" s="226"/>
      <c r="K45" s="126"/>
      <c r="L45" s="384"/>
    </row>
    <row r="46" spans="3:14" x14ac:dyDescent="0.25">
      <c r="D46" s="383"/>
      <c r="E46" s="226"/>
      <c r="K46" s="126"/>
      <c r="L46" s="384"/>
    </row>
    <row r="47" spans="3:14" x14ac:dyDescent="0.25">
      <c r="D47" s="383"/>
      <c r="E47" s="226"/>
      <c r="K47" s="126">
        <v>250</v>
      </c>
      <c r="L47" s="384"/>
    </row>
    <row r="48" spans="3:14" x14ac:dyDescent="0.25">
      <c r="D48" s="383"/>
      <c r="E48" s="226"/>
      <c r="K48" s="126"/>
      <c r="L48" s="384"/>
    </row>
    <row r="49" spans="3:14" ht="15.75" thickBot="1" x14ac:dyDescent="0.3">
      <c r="C49" s="31"/>
      <c r="D49" s="385">
        <v>37</v>
      </c>
      <c r="E49" s="225"/>
      <c r="K49" s="126"/>
      <c r="L49" s="384"/>
      <c r="M49" s="387"/>
      <c r="N49" s="114">
        <v>0</v>
      </c>
    </row>
    <row r="50" spans="3:14" ht="19.5" customHeight="1" thickBot="1" x14ac:dyDescent="0.3">
      <c r="D50" s="388">
        <v>18</v>
      </c>
      <c r="E50" s="389"/>
      <c r="F50" s="390"/>
      <c r="G50" s="390"/>
      <c r="H50" s="390"/>
      <c r="I50" s="390"/>
      <c r="J50" s="390"/>
      <c r="K50" s="391"/>
      <c r="L50" s="392"/>
    </row>
    <row r="51" spans="3:14" x14ac:dyDescent="0.25">
      <c r="D51">
        <v>2</v>
      </c>
      <c r="E51" s="227"/>
      <c r="F51" s="114"/>
      <c r="G51" s="114"/>
      <c r="H51" s="114"/>
      <c r="I51" s="114"/>
      <c r="J51" s="114"/>
      <c r="K51" s="213"/>
    </row>
  </sheetData>
  <mergeCells count="1">
    <mergeCell ref="B2:B3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CE0BD-C6CD-44D4-ACBB-334C149B4679}">
  <sheetPr codeName="List9"/>
  <dimension ref="A1:BA195"/>
  <sheetViews>
    <sheetView workbookViewId="0"/>
  </sheetViews>
  <sheetFormatPr defaultColWidth="9.140625" defaultRowHeight="15" zeroHeight="1" x14ac:dyDescent="0.25"/>
  <cols>
    <col min="1" max="1" width="10.7109375" customWidth="1"/>
    <col min="2" max="2" width="6.7109375" customWidth="1"/>
    <col min="3" max="3" width="6" customWidth="1"/>
    <col min="4" max="4" width="14" customWidth="1"/>
    <col min="5" max="5" width="19.140625" customWidth="1"/>
    <col min="6" max="6" width="23.42578125" customWidth="1"/>
    <col min="7" max="7" width="21.28515625" customWidth="1"/>
    <col min="8" max="8" width="20.140625" customWidth="1"/>
    <col min="9" max="9" width="22.140625" customWidth="1"/>
    <col min="10" max="10" width="26.7109375" customWidth="1"/>
    <col min="11" max="11" width="21" customWidth="1"/>
    <col min="12" max="12" width="16.85546875" customWidth="1"/>
    <col min="13" max="13" width="11.85546875" customWidth="1"/>
    <col min="14" max="14" width="18.7109375" customWidth="1"/>
    <col min="15" max="15" width="24.7109375" customWidth="1"/>
    <col min="16" max="16" width="16.85546875" customWidth="1"/>
    <col min="17" max="24" width="9.140625" customWidth="1"/>
    <col min="25" max="25" width="11.7109375" customWidth="1"/>
  </cols>
  <sheetData>
    <row r="1" spans="1:30" x14ac:dyDescent="0.25">
      <c r="P1" t="s">
        <v>503</v>
      </c>
      <c r="S1" t="s">
        <v>504</v>
      </c>
      <c r="U1" t="s">
        <v>505</v>
      </c>
      <c r="W1" t="s">
        <v>82</v>
      </c>
      <c r="X1" t="str">
        <f>IF(I25&lt;&gt;"",Překlady!$C$82,"")</f>
        <v/>
      </c>
      <c r="Y1" t="str">
        <f>IF(AND(D25="185 mm",I25&lt;&gt;""),Překlady!$C$83,"")</f>
        <v/>
      </c>
      <c r="AC1" t="str">
        <f>IF(G25&gt;0,Překlady!$C$78,"")</f>
        <v/>
      </c>
      <c r="AD1" t="str">
        <f>IF(G25&gt;0,Překlady!$C$79,"")</f>
        <v/>
      </c>
    </row>
    <row r="2" spans="1:30" s="6" customFormat="1" ht="15" customHeight="1" x14ac:dyDescent="0.25">
      <c r="A2" s="11"/>
      <c r="B2" s="11"/>
      <c r="C2" s="11"/>
      <c r="D2" s="11"/>
      <c r="E2" s="257" t="str">
        <f>Překlady!C81&amp;" StrongMax"</f>
        <v>Élelmiszer szekrény StrongMax</v>
      </c>
      <c r="F2" s="257"/>
      <c r="G2" s="257"/>
      <c r="H2" s="257"/>
      <c r="I2" s="257"/>
      <c r="J2" s="257"/>
      <c r="K2" s="257"/>
      <c r="L2" s="257"/>
      <c r="M2" s="364" t="str">
        <f>Překlady!C7</f>
        <v>Bevezetés</v>
      </c>
      <c r="N2" s="364"/>
      <c r="O2"/>
      <c r="P2" s="6">
        <v>1500</v>
      </c>
      <c r="Q2">
        <v>2000</v>
      </c>
      <c r="R2"/>
      <c r="S2">
        <f>IF(G15=3,SUM(G27:G29),IF(G15=4,SUM(G26:G29),SUM(G25:G29)))</f>
        <v>746</v>
      </c>
      <c r="T2"/>
      <c r="U2" s="6" t="str">
        <f>Překlady!$C$31</f>
        <v>fehér</v>
      </c>
      <c r="W2" t="s">
        <v>79</v>
      </c>
      <c r="X2" t="str">
        <f>IF(I26&lt;&gt;"",Překlady!$C$82,"")</f>
        <v>tömör oldalfal</v>
      </c>
      <c r="Y2" t="str">
        <f>IF(AND(D26="185 mm",I26&lt;&gt;""),Překlady!$C$83,"")</f>
        <v/>
      </c>
      <c r="AC2" t="str">
        <f>IF(G26&gt;0,Překlady!$C$78,"")</f>
        <v>üveg</v>
      </c>
      <c r="AD2" t="str">
        <f>IF(G26&gt;0,Překlady!$C$79,"")</f>
        <v>alu profil</v>
      </c>
    </row>
    <row r="3" spans="1:30" s="6" customFormat="1" ht="16.5" customHeight="1" x14ac:dyDescent="0.25">
      <c r="A3" s="11"/>
      <c r="B3" s="11"/>
      <c r="C3" s="11"/>
      <c r="D3" s="11"/>
      <c r="E3" s="257"/>
      <c r="F3" s="257"/>
      <c r="G3" s="257"/>
      <c r="H3" s="257"/>
      <c r="I3" s="257"/>
      <c r="J3" s="257"/>
      <c r="K3" s="257"/>
      <c r="L3" s="257"/>
      <c r="M3" s="364"/>
      <c r="N3" s="364"/>
      <c r="O3"/>
      <c r="P3" s="6">
        <v>3</v>
      </c>
      <c r="Q3">
        <v>4</v>
      </c>
      <c r="R3"/>
      <c r="S3"/>
      <c r="T3"/>
      <c r="U3" s="6" t="str">
        <f>Překlady!$C$33</f>
        <v>szürke</v>
      </c>
      <c r="W3" t="s">
        <v>76</v>
      </c>
      <c r="X3" t="str">
        <f>IF(I27&lt;&gt;"",Překlady!$C$82,"")</f>
        <v>tömör oldalfal</v>
      </c>
      <c r="Y3" t="str">
        <f>IF(AND(D27="185 mm",I27&lt;&gt;""),Překlady!$C$83,"")</f>
        <v/>
      </c>
      <c r="AC3" t="str">
        <f>IF(G27&gt;0,Překlady!$C$78,"")</f>
        <v>üveg</v>
      </c>
      <c r="AD3" t="str">
        <f>IF(G27&gt;0,Překlady!$C$79,"")</f>
        <v>alu profil</v>
      </c>
    </row>
    <row r="4" spans="1:30" x14ac:dyDescent="0.25">
      <c r="U4" s="6" t="str">
        <f>IF(OR($G$14=450,$G$14=500),Překlady!$C$32,"")</f>
        <v>fekete</v>
      </c>
      <c r="W4" t="s">
        <v>73</v>
      </c>
      <c r="X4" t="str">
        <f>IF(I28&lt;&gt;"",Překlady!$C$82,"")</f>
        <v>tömör oldalfal</v>
      </c>
      <c r="Y4" t="str">
        <f>IF(AND(D28="185 mm",I28&lt;&gt;""),Překlady!$C$83,"")</f>
        <v/>
      </c>
      <c r="AC4" t="str">
        <f>IF(G28&gt;0,Překlady!$C$78,"")</f>
        <v>üveg</v>
      </c>
      <c r="AD4" t="str">
        <f>IF(G28&gt;0,Překlady!$C$79,"")</f>
        <v>alu profil</v>
      </c>
    </row>
    <row r="5" spans="1:30" x14ac:dyDescent="0.25">
      <c r="W5" t="s">
        <v>70</v>
      </c>
      <c r="X5" t="str">
        <f>IF(I29&lt;&gt;"",Překlady!$C$82,"")</f>
        <v>tömör oldalfal</v>
      </c>
      <c r="Y5" t="str">
        <f>IF(AND(D29="185 mm",I29&lt;&gt;""),Překlady!$C$83,"")</f>
        <v>üvegezett oldalfal</v>
      </c>
      <c r="AC5" t="str">
        <f>IF(G29&gt;0,Překlady!$C$78,"")</f>
        <v>üveg</v>
      </c>
      <c r="AD5" t="str">
        <f>IF(G29&gt;0,Překlady!$C$79,"")</f>
        <v>alu profil</v>
      </c>
    </row>
    <row r="6" spans="1:30" x14ac:dyDescent="0.25"/>
    <row r="7" spans="1:30" x14ac:dyDescent="0.25">
      <c r="P7" t="s">
        <v>506</v>
      </c>
    </row>
    <row r="8" spans="1:30" ht="18.75" x14ac:dyDescent="0.25">
      <c r="B8" s="18" t="str">
        <f>Překlady!C29</f>
        <v>A korpusz méretei mm-ben</v>
      </c>
      <c r="C8" s="56"/>
      <c r="D8" s="56"/>
      <c r="E8" s="56"/>
      <c r="F8" s="56"/>
      <c r="G8" s="56"/>
      <c r="H8" s="1"/>
      <c r="M8" s="21"/>
    </row>
    <row r="9" spans="1:30" x14ac:dyDescent="0.25">
      <c r="B9" s="259" t="str">
        <f>Překlady!C9</f>
        <v>Korpuszmagasság (A)</v>
      </c>
      <c r="C9" s="260"/>
      <c r="D9" s="260"/>
      <c r="E9" s="260"/>
      <c r="F9" s="261"/>
      <c r="G9" s="171">
        <v>1200</v>
      </c>
      <c r="H9" s="1"/>
      <c r="M9" s="2"/>
    </row>
    <row r="10" spans="1:30" x14ac:dyDescent="0.25">
      <c r="B10" s="259" t="str">
        <f>Překlady!C10</f>
        <v>Korpuszszélesség (B)</v>
      </c>
      <c r="C10" s="260"/>
      <c r="D10" s="260"/>
      <c r="E10" s="260"/>
      <c r="F10" s="261"/>
      <c r="G10" s="171">
        <v>600</v>
      </c>
      <c r="H10" s="1"/>
      <c r="M10" s="21"/>
      <c r="Q10" t="s">
        <v>507</v>
      </c>
      <c r="R10" t="s">
        <v>508</v>
      </c>
      <c r="S10" t="s">
        <v>509</v>
      </c>
    </row>
    <row r="11" spans="1:30" x14ac:dyDescent="0.25">
      <c r="B11" s="365" t="str">
        <f>Překlady!C76</f>
        <v>A fiók maximális ajánlott szélessége a fióksín hosszának 1,6-szorosa</v>
      </c>
      <c r="C11" s="366"/>
      <c r="D11" s="366"/>
      <c r="E11" s="366"/>
      <c r="F11" s="366"/>
      <c r="G11" s="367"/>
      <c r="H11" s="1"/>
      <c r="M11" s="21"/>
      <c r="P11" t="s">
        <v>510</v>
      </c>
      <c r="Q11">
        <v>113</v>
      </c>
      <c r="R11">
        <f>Q11-28-18</f>
        <v>67</v>
      </c>
      <c r="S11">
        <f>Q11+80</f>
        <v>193</v>
      </c>
    </row>
    <row r="12" spans="1:30" x14ac:dyDescent="0.25">
      <c r="B12" s="259" t="str">
        <f>Překlady!C11</f>
        <v>Alsó és felső fal vastagság ©</v>
      </c>
      <c r="C12" s="260"/>
      <c r="D12" s="260"/>
      <c r="E12" s="260"/>
      <c r="F12" s="261"/>
      <c r="G12" s="57">
        <v>18</v>
      </c>
      <c r="H12" s="1"/>
      <c r="M12" s="21"/>
      <c r="P12" t="s">
        <v>511</v>
      </c>
      <c r="Q12">
        <v>145</v>
      </c>
      <c r="R12">
        <f t="shared" ref="R12:R13" si="0">Q12-28-18</f>
        <v>99</v>
      </c>
      <c r="S12">
        <f>Q12+80</f>
        <v>225</v>
      </c>
    </row>
    <row r="13" spans="1:30" x14ac:dyDescent="0.25">
      <c r="B13" s="259" t="str">
        <f>Překlady!C12</f>
        <v>Oldalfal vastagság (D)</v>
      </c>
      <c r="C13" s="260"/>
      <c r="D13" s="260"/>
      <c r="E13" s="260"/>
      <c r="F13" s="261"/>
      <c r="G13" s="57">
        <v>18</v>
      </c>
      <c r="H13" s="1"/>
      <c r="P13" t="s">
        <v>512</v>
      </c>
      <c r="Q13">
        <v>209</v>
      </c>
      <c r="R13">
        <f t="shared" si="0"/>
        <v>163</v>
      </c>
      <c r="S13">
        <f>Q13+80</f>
        <v>289</v>
      </c>
    </row>
    <row r="14" spans="1:30" x14ac:dyDescent="0.25">
      <c r="B14" s="259" t="str">
        <f>Překlady!C17</f>
        <v>Fióksín hossz (I)</v>
      </c>
      <c r="C14" s="260"/>
      <c r="D14" s="260"/>
      <c r="E14" s="260"/>
      <c r="F14" s="261"/>
      <c r="G14" s="171">
        <v>500</v>
      </c>
      <c r="H14" s="1"/>
      <c r="Z14" s="64"/>
    </row>
    <row r="15" spans="1:30" x14ac:dyDescent="0.25">
      <c r="B15" s="259" t="str">
        <f>Překlady!C18</f>
        <v>Fiókok száma</v>
      </c>
      <c r="C15" s="260"/>
      <c r="D15" s="260"/>
      <c r="E15" s="260"/>
      <c r="F15" s="261"/>
      <c r="G15" s="171">
        <v>4</v>
      </c>
      <c r="H15" s="36"/>
      <c r="Z15" s="64"/>
    </row>
    <row r="16" spans="1:30" x14ac:dyDescent="0.25">
      <c r="B16" s="259" t="str">
        <f>Překlady!C89</f>
        <v>Lesz polc a korpusz felső részében?</v>
      </c>
      <c r="C16" s="260"/>
      <c r="D16" s="260"/>
      <c r="E16" s="260"/>
      <c r="F16" s="261"/>
      <c r="G16" s="172" t="s">
        <v>229</v>
      </c>
      <c r="H16" s="36"/>
      <c r="Z16" s="64"/>
    </row>
    <row r="17" spans="1:53" x14ac:dyDescent="0.25">
      <c r="B17" s="342" t="str">
        <f>Překlady!C90</f>
        <v>A polc belső magassága</v>
      </c>
      <c r="C17" s="342"/>
      <c r="D17" s="342"/>
      <c r="E17" s="342"/>
      <c r="F17" s="342"/>
      <c r="G17" s="188">
        <v>400</v>
      </c>
      <c r="H17" s="33"/>
      <c r="Q17">
        <f>SUM(Q18:Q22)</f>
        <v>1221</v>
      </c>
      <c r="Z17" s="64"/>
    </row>
    <row r="18" spans="1:53" x14ac:dyDescent="0.25">
      <c r="B18" s="79"/>
      <c r="C18" s="79"/>
      <c r="D18" s="79"/>
      <c r="E18" s="79"/>
      <c r="F18" s="79"/>
      <c r="G18" s="78"/>
      <c r="H18" s="33"/>
      <c r="O18">
        <v>5</v>
      </c>
      <c r="P18" t="s">
        <v>510</v>
      </c>
      <c r="Q18">
        <f t="shared" ref="Q18:Q21" si="1">VLOOKUP(P18,$P$11:$S$13,4,0)</f>
        <v>193</v>
      </c>
      <c r="Z18" s="64"/>
    </row>
    <row r="19" spans="1:53" x14ac:dyDescent="0.25">
      <c r="B19" s="77"/>
      <c r="C19" s="77"/>
      <c r="D19" s="77"/>
      <c r="E19" s="77"/>
      <c r="F19" s="1"/>
      <c r="G19" s="1"/>
      <c r="H19" s="1"/>
      <c r="O19">
        <v>4</v>
      </c>
      <c r="P19" t="s">
        <v>511</v>
      </c>
      <c r="Q19">
        <f t="shared" si="1"/>
        <v>225</v>
      </c>
      <c r="Z19" s="64"/>
    </row>
    <row r="20" spans="1:53" x14ac:dyDescent="0.25">
      <c r="F20" s="1"/>
      <c r="G20" s="1"/>
      <c r="H20" s="1"/>
      <c r="O20">
        <v>3</v>
      </c>
      <c r="P20" t="s">
        <v>511</v>
      </c>
      <c r="Q20">
        <f t="shared" si="1"/>
        <v>225</v>
      </c>
      <c r="Z20" s="64"/>
    </row>
    <row r="21" spans="1:53" x14ac:dyDescent="0.25">
      <c r="O21">
        <v>2</v>
      </c>
      <c r="P21" t="s">
        <v>512</v>
      </c>
      <c r="Q21">
        <f t="shared" si="1"/>
        <v>289</v>
      </c>
      <c r="Z21" s="64"/>
    </row>
    <row r="22" spans="1:53" ht="15.75" thickBot="1" x14ac:dyDescent="0.3">
      <c r="O22">
        <v>1</v>
      </c>
      <c r="P22" t="s">
        <v>512</v>
      </c>
      <c r="Q22">
        <f>VLOOKUP(P22,$P$11:$S$13,4,0)</f>
        <v>289</v>
      </c>
      <c r="Z22" s="64"/>
    </row>
    <row r="23" spans="1:53" x14ac:dyDescent="0.25">
      <c r="B23" s="351" t="str">
        <f>Překlady!C27</f>
        <v>Fióksín pozíció</v>
      </c>
      <c r="C23" s="350"/>
      <c r="D23" s="350" t="str">
        <f>Překlady!C34</f>
        <v>Válassza ki az oldalfal magasságát</v>
      </c>
      <c r="E23" s="353"/>
      <c r="F23" s="354"/>
      <c r="G23" s="350" t="str">
        <f>Překlady!C86</f>
        <v>A fiók hasznos magassága</v>
      </c>
      <c r="H23" s="343" t="str">
        <f>Překlady!C88</f>
        <v>A korpusz belső magasságának kiszámítása</v>
      </c>
      <c r="I23" s="371" t="str">
        <f>Překlady!C77</f>
        <v>Fiókelőlap típusa</v>
      </c>
      <c r="J23" s="371" t="str">
        <f>Překlady!C84</f>
        <v>Fiókoldal típusa</v>
      </c>
      <c r="K23" s="372" t="str">
        <f>Překlady!C30</f>
        <v>Szín kiválasztása</v>
      </c>
    </row>
    <row r="24" spans="1:53" x14ac:dyDescent="0.25">
      <c r="B24" s="352"/>
      <c r="C24" s="268"/>
      <c r="D24" s="268"/>
      <c r="E24" s="355"/>
      <c r="F24" s="356"/>
      <c r="G24" s="268"/>
      <c r="H24" s="322"/>
      <c r="I24" s="256"/>
      <c r="J24" s="256"/>
      <c r="K24" s="373"/>
    </row>
    <row r="25" spans="1:53" x14ac:dyDescent="0.25">
      <c r="A25" s="361" t="str">
        <f>Překlady!C37</f>
        <v>Az adatokat mindig alulról kezdje kitölteni</v>
      </c>
      <c r="B25" s="346" t="str">
        <f>IF(G15=5,Překlady!C26,"")</f>
        <v/>
      </c>
      <c r="C25" s="347"/>
      <c r="D25" s="178"/>
      <c r="E25" s="357" t="str">
        <f>IFERROR((IF(G15=5,CONCATENATE(Překlady!$C$87," (min ",P29,"): ---&gt;"),"")),"")</f>
        <v/>
      </c>
      <c r="F25" s="357"/>
      <c r="G25" s="69"/>
      <c r="H25" s="344">
        <f>(G9-G12-G12)-(IF(G16=Překlady!C67,G17+G12,0)+S2)</f>
        <v>418</v>
      </c>
      <c r="I25" s="181"/>
      <c r="J25" s="181"/>
      <c r="K25" s="368" t="s">
        <v>109</v>
      </c>
      <c r="U25" s="24"/>
      <c r="Y25" t="str">
        <f>CONCATENATE(I25,"_",K25,"_",D25)</f>
        <v>_šedá_</v>
      </c>
      <c r="AA25" t="str">
        <f>IFERROR((VLOOKUP(Y25,Karty!$O$135:$P$143,2,0)),"")</f>
        <v/>
      </c>
      <c r="AB25" t="e">
        <f>VLOOKUP(Y25,Karty!$O$135:$Q$143,3,0)</f>
        <v>#N/A</v>
      </c>
      <c r="AG25" t="str">
        <f>IF(ISTEXT(AB25),COUNTIF($AA$25:$AA$29,AA25),"")</f>
        <v/>
      </c>
      <c r="AI25" t="str">
        <f>CONCATENATE(D25,"_",$K$25,"_",$G$14,"_",J25)</f>
        <v>_šedá_500_</v>
      </c>
      <c r="AJ25" t="str">
        <f>IFERROR((VLOOKUP(AI25,Karty!O152:P225,2,0)),"")</f>
        <v/>
      </c>
      <c r="AK25" t="e">
        <f>VLOOKUP(AI25,Karty!O152:Q225,3,0)</f>
        <v>#N/A</v>
      </c>
      <c r="AP25" t="str">
        <f>IF($G$15=5,COUNTIF($AJ$25:$AJ$29,AJ25),"")</f>
        <v/>
      </c>
      <c r="AS25" t="str">
        <f>CONCATENATE(I25,"_",$G$10,"_",$G$13,"_",D25)</f>
        <v>_600_18_</v>
      </c>
      <c r="AT25" t="str">
        <f>IFERROR((VLOOKUP(AS25,Karty!$O$100:$P$120,2,0)),"")</f>
        <v/>
      </c>
      <c r="AU25" t="e">
        <f>VLOOKUP(AS25,Karty!$O$100:$Q$120,3,0)</f>
        <v>#N/A</v>
      </c>
      <c r="BA25" t="str">
        <f>IF(ISTEXT(AU25),COUNTIF($AU$25:$AU$29,AU25),"")</f>
        <v/>
      </c>
    </row>
    <row r="26" spans="1:53" x14ac:dyDescent="0.25">
      <c r="A26" s="361"/>
      <c r="B26" s="346" t="str">
        <f>IF(G15&gt;3,Překlady!C25,"")</f>
        <v>4. fiók</v>
      </c>
      <c r="C26" s="347"/>
      <c r="D26" s="69" t="s">
        <v>511</v>
      </c>
      <c r="E26" s="357" t="str">
        <f>IFERROR((IF(G15&gt;3,CONCATENATE(Překlady!$C$87," (min ",P30,"): ---&gt;"),"")),"")</f>
        <v>válassza ki a fiók hasznos magasságát (min 225): ---&gt;</v>
      </c>
      <c r="F26" s="357"/>
      <c r="G26" s="69">
        <v>150</v>
      </c>
      <c r="H26" s="247"/>
      <c r="I26" s="181" t="s">
        <v>275</v>
      </c>
      <c r="J26" s="181" t="s">
        <v>291</v>
      </c>
      <c r="K26" s="369"/>
      <c r="O26" t="s">
        <v>513</v>
      </c>
      <c r="P26">
        <f>G9-(2*G12)</f>
        <v>1164</v>
      </c>
      <c r="U26" s="24"/>
      <c r="Y26" t="str">
        <f>CONCATENATE(I26,"_",K25,"_",D26)</f>
        <v>sklo_šedá_121 mm</v>
      </c>
      <c r="AA26" t="str">
        <f>IFERROR((VLOOKUP(Y26,Karty!$O$135:$P$143,2,0)),"")</f>
        <v/>
      </c>
      <c r="AB26" t="e">
        <f>VLOOKUP(Y26,Karty!$O$135:$Q$143,3,0)</f>
        <v>#N/A</v>
      </c>
      <c r="AG26" t="str">
        <f>IF(ISTEXT(AB26),COUNTIF($AA$25:$AA$29,AA26),"")</f>
        <v/>
      </c>
      <c r="AI26" t="str">
        <f>CONCATENATE(D26,"_",$K$25,"_",$G$14,"_",J26)</f>
        <v>121 mm_šedá_500_plná bočnice</v>
      </c>
      <c r="AJ26" t="str">
        <f>IFERROR((VLOOKUP(AI26,Karty!O153:P226,2,0)),"")</f>
        <v/>
      </c>
      <c r="AK26" t="e">
        <f>VLOOKUP(AI26,Karty!O153:Q226,3,0)</f>
        <v>#N/A</v>
      </c>
      <c r="AP26">
        <f>IF($G$15&gt;3,COUNTIF($AJ$25:$AJ$29,AJ26),"")</f>
        <v>2</v>
      </c>
      <c r="AS26" t="str">
        <f t="shared" ref="AS26:AS29" si="2">CONCATENATE(I26,"_",$G$10,"_",$G$13,"_",D26)</f>
        <v>sklo_600_18_121 mm</v>
      </c>
      <c r="AT26" t="str">
        <f>IFERROR((VLOOKUP(AS26,Karty!$O$100:$P$120,2,0)),"")</f>
        <v/>
      </c>
      <c r="AU26" t="e">
        <f>VLOOKUP(AS26,Karty!$O$100:$Q$120,3,0)</f>
        <v>#N/A</v>
      </c>
      <c r="BA26" t="str">
        <f>IF(ISTEXT(AU26),COUNTIF($AU$25:$AU$29,AU26),"")</f>
        <v/>
      </c>
    </row>
    <row r="27" spans="1:53" x14ac:dyDescent="0.25">
      <c r="A27" s="361"/>
      <c r="B27" s="346" t="str">
        <f>Překlady!C24</f>
        <v>3. fiók</v>
      </c>
      <c r="C27" s="347"/>
      <c r="D27" s="69" t="s">
        <v>511</v>
      </c>
      <c r="E27" s="357" t="str">
        <f>IFERROR((CONCATENATE(Překlady!$C$87," (min ",P31,"): ---&gt;")),"")</f>
        <v>válassza ki a fiók hasznos magasságát (min 225): ---&gt;</v>
      </c>
      <c r="F27" s="357"/>
      <c r="G27" s="69">
        <v>150</v>
      </c>
      <c r="H27" s="247"/>
      <c r="I27" s="181" t="s">
        <v>279</v>
      </c>
      <c r="J27" s="181" t="s">
        <v>291</v>
      </c>
      <c r="K27" s="369"/>
      <c r="O27" t="s">
        <v>514</v>
      </c>
      <c r="P27">
        <f>P26/G15</f>
        <v>291</v>
      </c>
      <c r="U27" s="24"/>
      <c r="Y27" t="str">
        <f>CONCATENATE(I27,"_",K25,"_",D27)</f>
        <v>alu profil_šedá_121 mm</v>
      </c>
      <c r="AA27" t="str">
        <f>IFERROR((VLOOKUP(Y27,Karty!$O$135:$P$143,2,0)),"")</f>
        <v/>
      </c>
      <c r="AB27" t="e">
        <f>VLOOKUP(Y27,Karty!$O$135:$Q$143,3,0)</f>
        <v>#N/A</v>
      </c>
      <c r="AG27" t="str">
        <f>IF(ISTEXT(AB27),COUNTIF($AA$25:$AA$29,AA27),"")</f>
        <v/>
      </c>
      <c r="AI27" t="str">
        <f>CONCATENATE(D27,"_",$K$25,"_",$G$14,"_",J27)</f>
        <v>121 mm_šedá_500_plná bočnice</v>
      </c>
      <c r="AJ27" t="e">
        <f>VLOOKUP(AI27,Karty!O154:P227,2,0)</f>
        <v>#N/A</v>
      </c>
      <c r="AK27" t="e">
        <f>VLOOKUP(AI27,Karty!O154:Q227,3,0)</f>
        <v>#N/A</v>
      </c>
      <c r="AP27">
        <f>IF($G$15&gt;2,COUNTIF($AJ$25:$AJ$29,AJ27),"")</f>
        <v>3</v>
      </c>
      <c r="AS27" t="str">
        <f>CONCATENATE(I27,"_",$G$10,"_",$G$13,"_",D27)</f>
        <v>alu profil_600_18_121 mm</v>
      </c>
      <c r="AT27" t="str">
        <f>IFERROR((VLOOKUP(AS27,Karty!$O$100:$P$120,2,0)),"")</f>
        <v/>
      </c>
      <c r="AU27" t="e">
        <f>VLOOKUP(AS27,Karty!$O$100:$Q$120,3,0)</f>
        <v>#N/A</v>
      </c>
      <c r="BA27" t="str">
        <f>IF(ISTEXT(AU27),COUNTIF($AU$25:$AU$29,AU27),"")</f>
        <v/>
      </c>
    </row>
    <row r="28" spans="1:53" ht="15" customHeight="1" x14ac:dyDescent="0.25">
      <c r="A28" s="361"/>
      <c r="B28" s="346" t="str">
        <f>Překlady!C23</f>
        <v>2. fiók</v>
      </c>
      <c r="C28" s="347"/>
      <c r="D28" s="179" t="s">
        <v>511</v>
      </c>
      <c r="E28" s="357" t="str">
        <f>IFERROR((CONCATENATE(Překlady!$C$87," (min ",P32,"): ---&gt;")),"")</f>
        <v>válassza ki a fiók hasznos magasságát (min 225): ---&gt;</v>
      </c>
      <c r="F28" s="357"/>
      <c r="G28" s="69">
        <v>146</v>
      </c>
      <c r="H28" s="247"/>
      <c r="I28" s="182" t="s">
        <v>279</v>
      </c>
      <c r="J28" s="183" t="s">
        <v>291</v>
      </c>
      <c r="K28" s="369"/>
      <c r="O28" t="s">
        <v>515</v>
      </c>
      <c r="U28" s="24"/>
      <c r="Y28" t="str">
        <f>CONCATENATE(I28,"_",K25,"_",D28)</f>
        <v>alu profil_šedá_121 mm</v>
      </c>
      <c r="AA28" t="str">
        <f>IFERROR((VLOOKUP(Y28,Karty!$O$135:$P$143,2,0)),"")</f>
        <v/>
      </c>
      <c r="AB28" t="e">
        <f>VLOOKUP(Y28,Karty!$O$135:$Q$143,3,0)</f>
        <v>#N/A</v>
      </c>
      <c r="AG28" t="str">
        <f>IF(ISTEXT(AB28),COUNTIF($AA$25:$AA$29,AA28),"")</f>
        <v/>
      </c>
      <c r="AI28" t="str">
        <f>CONCATENATE(D28,"_",$K$25,"_",$G$14,"_",J28)</f>
        <v>121 mm_šedá_500_plná bočnice</v>
      </c>
      <c r="AJ28" t="e">
        <f>VLOOKUP(AI28,Karty!O155:P228,2,0)</f>
        <v>#N/A</v>
      </c>
      <c r="AK28" t="e">
        <f>VLOOKUP(AI28,Karty!O155:Q228,3,0)</f>
        <v>#N/A</v>
      </c>
      <c r="AP28">
        <f>IF($G$15&gt;1,COUNTIF($AJ$25:$AJ$29,AJ28),"")</f>
        <v>3</v>
      </c>
      <c r="AS28" t="str">
        <f>CONCATENATE(I28,"_",$G$10,"_",$G$13,"_",D28)</f>
        <v>alu profil_600_18_121 mm</v>
      </c>
      <c r="AT28" t="str">
        <f>IFERROR((VLOOKUP(AS28,Karty!$O$100:$P$120,2,0)),"")</f>
        <v/>
      </c>
      <c r="AU28" t="e">
        <f>VLOOKUP(AS28,Karty!$O$100:$Q$120,3,0)</f>
        <v>#N/A</v>
      </c>
      <c r="BA28" t="str">
        <f>IF(ISTEXT(AU28),COUNTIF($AU$25:$AU$29,AU28),"")</f>
        <v/>
      </c>
    </row>
    <row r="29" spans="1:53" ht="15" customHeight="1" thickBot="1" x14ac:dyDescent="0.3">
      <c r="A29" s="361"/>
      <c r="B29" s="348" t="str">
        <f>Překlady!C22</f>
        <v>1. fiók</v>
      </c>
      <c r="C29" s="349"/>
      <c r="D29" s="180" t="s">
        <v>512</v>
      </c>
      <c r="E29" s="362" t="str">
        <f>IFERROR((CONCATENATE(Překlady!$C$87," (min ",P33,"): ---&gt;")),"")</f>
        <v>válassza ki a fiók hasznos magasságát (min 289): ---&gt;</v>
      </c>
      <c r="F29" s="362"/>
      <c r="G29" s="70">
        <v>300</v>
      </c>
      <c r="H29" s="345"/>
      <c r="I29" s="184" t="s">
        <v>279</v>
      </c>
      <c r="J29" s="185" t="s">
        <v>291</v>
      </c>
      <c r="K29" s="370"/>
      <c r="O29">
        <v>5</v>
      </c>
      <c r="P29" t="e">
        <f t="shared" ref="P29:P32" si="3">VLOOKUP(D25,$P$11:$S$13,4,0)</f>
        <v>#N/A</v>
      </c>
      <c r="U29" s="24"/>
      <c r="Y29" t="str">
        <f>CONCATENATE(I29,"_",K25,"_",D29)</f>
        <v>alu profil_šedá_185 mm</v>
      </c>
      <c r="AA29" t="str">
        <f>IFERROR((VLOOKUP(Y29,Karty!$O$135:$P$143,2,0)),"")</f>
        <v/>
      </c>
      <c r="AB29" t="e">
        <f>VLOOKUP(Y29,Karty!$O$135:$Q$143,3,0)</f>
        <v>#N/A</v>
      </c>
      <c r="AG29" t="str">
        <f>IF(ISTEXT(AB29),COUNTIF($AA$25:$AA$29,AA29),"")</f>
        <v/>
      </c>
      <c r="AI29" t="str">
        <f>CONCATENATE(D29,"_",$K$25,"_",$G$14,"_",J29)</f>
        <v>185 mm_šedá_500_plná bočnice</v>
      </c>
      <c r="AJ29" t="e">
        <f>VLOOKUP(AI29,Karty!O156:P229,2,0)</f>
        <v>#N/A</v>
      </c>
      <c r="AK29" t="e">
        <f>VLOOKUP(AI29,Karty!O156:Q229,3,0)</f>
        <v>#N/A</v>
      </c>
      <c r="AP29">
        <f>IF($G$15&gt;0,COUNTIF($AJ$25:$AJ$29,AJ29),"")</f>
        <v>3</v>
      </c>
      <c r="AS29" t="str">
        <f t="shared" si="2"/>
        <v>alu profil_600_18_185 mm</v>
      </c>
      <c r="AT29" t="str">
        <f>IFERROR((VLOOKUP(AS29,Karty!$O$100:$P$120,2,0)),"")</f>
        <v/>
      </c>
      <c r="AU29" t="e">
        <f>VLOOKUP(AS29,Karty!$O$100:$Q$120,3,0)</f>
        <v>#N/A</v>
      </c>
      <c r="BA29" t="str">
        <f>IF(ISTEXT(AU29),COUNTIF($AU$25:$AU$29,AU29),"")</f>
        <v/>
      </c>
    </row>
    <row r="30" spans="1:53" x14ac:dyDescent="0.25">
      <c r="A30" s="67"/>
      <c r="E30" s="56"/>
      <c r="O30">
        <v>4</v>
      </c>
      <c r="P30">
        <f t="shared" si="3"/>
        <v>225</v>
      </c>
    </row>
    <row r="31" spans="1:53" x14ac:dyDescent="0.25">
      <c r="A31" s="67"/>
      <c r="O31">
        <v>3</v>
      </c>
      <c r="P31">
        <f t="shared" si="3"/>
        <v>225</v>
      </c>
    </row>
    <row r="32" spans="1:53" ht="15" customHeight="1" x14ac:dyDescent="0.25">
      <c r="A32" s="67"/>
      <c r="G32" s="169"/>
      <c r="O32">
        <v>2</v>
      </c>
      <c r="P32">
        <f t="shared" si="3"/>
        <v>225</v>
      </c>
      <c r="Z32" s="2"/>
    </row>
    <row r="33" spans="1:43" ht="15" customHeight="1" x14ac:dyDescent="0.25">
      <c r="A33" s="67"/>
      <c r="O33">
        <v>1</v>
      </c>
      <c r="P33">
        <f>VLOOKUP(D29,$P$11:$S$13,4,0)</f>
        <v>289</v>
      </c>
      <c r="Z33" s="2"/>
    </row>
    <row r="34" spans="1:43" ht="15" customHeight="1" x14ac:dyDescent="0.25">
      <c r="Z34" s="2"/>
    </row>
    <row r="35" spans="1:43" ht="18.75" customHeight="1" x14ac:dyDescent="0.25">
      <c r="B35" s="333" t="str">
        <f>Překlady!C52</f>
        <v>Vissza</v>
      </c>
      <c r="C35" s="333"/>
      <c r="D35" s="333"/>
      <c r="G35">
        <v>502870</v>
      </c>
      <c r="Z35" s="2"/>
    </row>
    <row r="36" spans="1:43" ht="18.75" customHeight="1" x14ac:dyDescent="0.25">
      <c r="B36" s="333"/>
      <c r="C36" s="333"/>
      <c r="D36" s="333"/>
      <c r="G36" t="s">
        <v>516</v>
      </c>
      <c r="Z36" s="2"/>
    </row>
    <row r="37" spans="1:43" x14ac:dyDescent="0.25">
      <c r="Z37" s="2"/>
    </row>
    <row r="38" spans="1:43" x14ac:dyDescent="0.25">
      <c r="Z38" s="2"/>
    </row>
    <row r="39" spans="1:43" x14ac:dyDescent="0.25">
      <c r="Z39" s="2"/>
      <c r="AK39" t="s">
        <v>517</v>
      </c>
      <c r="AL39">
        <v>55</v>
      </c>
    </row>
    <row r="40" spans="1:43" ht="18.75" x14ac:dyDescent="0.3">
      <c r="B40" s="192" t="str">
        <f>Překlady!C91</f>
        <v>Megrendelési kódok:</v>
      </c>
      <c r="C40" s="73"/>
      <c r="D40" s="73"/>
      <c r="E40" s="73"/>
      <c r="F40" s="73"/>
      <c r="G40" s="73"/>
      <c r="H40" s="73"/>
      <c r="I40" s="73"/>
      <c r="J40" s="73"/>
      <c r="K40" s="73"/>
      <c r="L40" s="73"/>
      <c r="O40" t="s">
        <v>518</v>
      </c>
      <c r="P40" t="s">
        <v>275</v>
      </c>
      <c r="Q40" t="s">
        <v>519</v>
      </c>
      <c r="R40" t="s">
        <v>520</v>
      </c>
      <c r="Z40" s="2"/>
    </row>
    <row r="41" spans="1:43" x14ac:dyDescent="0.25">
      <c r="B41" s="6"/>
      <c r="C41" s="6"/>
      <c r="D41" s="6"/>
      <c r="E41" s="122" t="str">
        <f>Překlady!C94</f>
        <v>Kod</v>
      </c>
      <c r="F41" s="42" t="str">
        <f>Překlady!C95</f>
        <v>Megnevezés</v>
      </c>
      <c r="G41" s="6"/>
      <c r="H41" s="6"/>
      <c r="I41" s="6"/>
      <c r="J41" s="122" t="str">
        <f>Překlady!C93</f>
        <v>Mennyiség</v>
      </c>
      <c r="K41" s="6"/>
      <c r="L41" s="6"/>
      <c r="O41" t="s">
        <v>82</v>
      </c>
      <c r="P41" s="74" t="str">
        <f>_xlfn.CONCAT(D25,"_",G10)</f>
        <v>_600</v>
      </c>
      <c r="Q41">
        <f>COUNTIF($P$41:$P$45,P41)</f>
        <v>1</v>
      </c>
      <c r="R41">
        <f>IF(I25=Překlady!$D$79,(vnitřní!$G$10-(2*vnitřní!$G$13)-87),0)</f>
        <v>0</v>
      </c>
      <c r="S41">
        <f t="shared" ref="S41:S44" si="4">IF(R41&gt;0,1,0)</f>
        <v>0</v>
      </c>
      <c r="Z41" s="2"/>
      <c r="AN41" t="str">
        <f>CONCATENATE(Překlady!C33,"_800")</f>
        <v>szürke_800</v>
      </c>
      <c r="AP41" s="64" t="str">
        <f>Karty!C122</f>
        <v>336115</v>
      </c>
      <c r="AQ41" t="str">
        <f>Karty!B122</f>
        <v>StrongMax 16/18 kereszt reling 800 mm, sötétszürke</v>
      </c>
    </row>
    <row r="42" spans="1:43" x14ac:dyDescent="0.25">
      <c r="B42" s="374" t="str">
        <f>Překlady!C92</f>
        <v>Fióksínek:</v>
      </c>
      <c r="C42" s="374"/>
      <c r="D42" s="6"/>
      <c r="E42" s="174" t="str">
        <f>IF(G14&gt;0,VLOOKUP(G14,Karty!O226:Q233,2,0),"")</f>
        <v>374233</v>
      </c>
      <c r="F42" s="1" t="str">
        <f>IF(G14&gt;0,VLOOKUP(G14,Karty!O226:Q233,3,0),"")</f>
        <v>StrongMax fióksín 500mm 40kg csillapítással B+J</v>
      </c>
      <c r="G42" s="6"/>
      <c r="H42" s="6"/>
      <c r="I42" s="6"/>
      <c r="J42" s="175">
        <f>IF(E42&lt;&gt;"",G15,"")</f>
        <v>4</v>
      </c>
      <c r="K42" s="6"/>
      <c r="L42" s="6"/>
      <c r="O42" t="s">
        <v>79</v>
      </c>
      <c r="P42" s="74" t="str">
        <f>_xlfn.CONCAT(D26,"_",G10)</f>
        <v>121 mm_600</v>
      </c>
      <c r="Q42">
        <f t="shared" ref="Q42:Q45" si="5">COUNTIF($P$41:$P$45,P42)</f>
        <v>3</v>
      </c>
      <c r="R42">
        <f>IF(I26=Překlady!$D$79,(vnitřní!$G$10-(2*vnitřní!$G$13)-87),0)</f>
        <v>0</v>
      </c>
      <c r="S42">
        <f t="shared" si="4"/>
        <v>0</v>
      </c>
      <c r="Y42" s="64" t="str">
        <f>Karty!C151</f>
        <v>400408</v>
      </c>
      <c r="Z42" s="2" t="str">
        <f>Karty!B151</f>
        <v>StrongMax 16/18 előlapprofil 1100 mm, fekete</v>
      </c>
      <c r="AH42">
        <f>D25</f>
        <v>0</v>
      </c>
      <c r="AI42" t="str">
        <f>IF(AND(AH42="185 mm",I25=Překlady!$C$79),1,"")</f>
        <v/>
      </c>
      <c r="AN42" t="str">
        <f>CONCATENATE(Překlady!C33,"_1100")</f>
        <v>szürke_1100</v>
      </c>
      <c r="AP42" s="64" t="str">
        <f>Karty!C121</f>
        <v>336114</v>
      </c>
      <c r="AQ42" t="str">
        <f>Karty!B121</f>
        <v>StrongMax 16/18 kereszt reling 1100 mm, sötétszürkr</v>
      </c>
    </row>
    <row r="43" spans="1:43" x14ac:dyDescent="0.25">
      <c r="B43" s="6"/>
      <c r="C43" s="6"/>
      <c r="D43" s="6"/>
      <c r="E43" s="174"/>
      <c r="F43" s="6"/>
      <c r="G43" s="6"/>
      <c r="H43" s="6"/>
      <c r="I43" s="6"/>
      <c r="J43" s="174"/>
      <c r="K43" s="6"/>
      <c r="L43" s="6"/>
      <c r="O43" t="s">
        <v>76</v>
      </c>
      <c r="P43" s="74" t="str">
        <f>_xlfn.CONCAT(D27,"_",G10)</f>
        <v>121 mm_600</v>
      </c>
      <c r="Q43">
        <f t="shared" si="5"/>
        <v>3</v>
      </c>
      <c r="R43">
        <f>IF(I27=Překlady!$D$79,(vnitřní!$G$10-(2*vnitřní!$G$13)-87),0)</f>
        <v>477</v>
      </c>
      <c r="S43">
        <f t="shared" si="4"/>
        <v>1</v>
      </c>
      <c r="Y43" s="64" t="str">
        <f>Karty!C148</f>
        <v>336108</v>
      </c>
      <c r="Z43" s="2" t="str">
        <f>Karty!B148</f>
        <v>StrongMax 16/18 előlapprofil 1100 mm, sötétszürke</v>
      </c>
      <c r="AH43" t="str">
        <f t="shared" ref="AH43:AH46" si="6">D26</f>
        <v>121 mm</v>
      </c>
      <c r="AI43" t="str">
        <f>IF(AND(AH43="185 mm",I26=Překlady!$C$79),1,"")</f>
        <v/>
      </c>
      <c r="AN43" t="str">
        <f>CONCATENATE(Překlady!C31,"_800")</f>
        <v>fehér_800</v>
      </c>
      <c r="AP43" s="64" t="str">
        <f>Karty!C124</f>
        <v>336117</v>
      </c>
      <c r="AQ43" t="str">
        <f>Karty!B124</f>
        <v>StrongMax 16/18 kereszt reling 800 mm, fehér</v>
      </c>
    </row>
    <row r="44" spans="1:43" x14ac:dyDescent="0.25">
      <c r="B44" s="42" t="str">
        <f>Překlady!C110</f>
        <v>Oldalfalak:</v>
      </c>
      <c r="C44" s="6"/>
      <c r="D44" s="6"/>
      <c r="E44" s="174" t="str" cm="1">
        <f t="array" ref="E44">IFERROR((INDEX($AJ$25:$AJ$29,MATCH(0,COUNTIF(E43,$AJ$25:$AJ$29),0))),"")</f>
        <v/>
      </c>
      <c r="F44" s="6" t="str">
        <f>IFERROR((VLOOKUP(E44,$AJ$25:$AK$29,2,0)),"")</f>
        <v/>
      </c>
      <c r="G44" s="6"/>
      <c r="H44" s="6"/>
      <c r="I44" s="6"/>
      <c r="J44" s="174" t="str">
        <f>IFERROR((IF(E44&lt;&gt;"",VLOOKUP(E44,$AJ$25:$AP$29,7,0),"")),"")</f>
        <v/>
      </c>
      <c r="K44" s="363" t="str">
        <f>IF(SUM(J44:J47)&lt;&gt;G15,Překlady!C111,"")</f>
        <v>Helytelenül beállított fióktípus – kérjük ellenőrizze a fenti táblázatot</v>
      </c>
      <c r="L44" s="363"/>
      <c r="O44" t="s">
        <v>73</v>
      </c>
      <c r="P44" s="74" t="str">
        <f>_xlfn.CONCAT(D28,"_",G10)</f>
        <v>121 mm_600</v>
      </c>
      <c r="Q44">
        <f t="shared" si="5"/>
        <v>3</v>
      </c>
      <c r="R44">
        <f>IF(I28=Překlady!$D$79,(vnitřní!$G$10-(2*vnitřní!$G$13)-87),0)</f>
        <v>477</v>
      </c>
      <c r="S44">
        <f t="shared" si="4"/>
        <v>1</v>
      </c>
      <c r="Y44" s="64" t="str">
        <f>Karty!C147</f>
        <v>336107</v>
      </c>
      <c r="Z44" s="2" t="str">
        <f>Karty!B147</f>
        <v>StrongMax 16/18 előlapprofil 800 mm, sötétszürke</v>
      </c>
      <c r="AH44" t="str">
        <f t="shared" si="6"/>
        <v>121 mm</v>
      </c>
      <c r="AI44" t="str">
        <f>IF(AND(AH44="185 mm",I27=Překlady!$C$79),1,"")</f>
        <v/>
      </c>
      <c r="AN44" t="str">
        <f>CONCATENATE(Překlady!C31,"_1100")</f>
        <v>fehér_1100</v>
      </c>
      <c r="AP44" s="64" t="str">
        <f>Karty!C123</f>
        <v>336116</v>
      </c>
      <c r="AQ44" t="str">
        <f>Karty!B123</f>
        <v>StrongMax 16/18 kereszt reling 1100 mm, fehér</v>
      </c>
    </row>
    <row r="45" spans="1:43" x14ac:dyDescent="0.25">
      <c r="B45" s="173"/>
      <c r="C45" s="173"/>
      <c r="D45" s="6"/>
      <c r="E45" s="174" t="str" cm="1">
        <f t="array" ref="E45">IFERROR((INDEX($AJ$25:$AJ$29,MATCH(0,COUNTIF(E43:E44,$AJ$25:$AJ$29),0))),"")</f>
        <v/>
      </c>
      <c r="F45" s="6" t="str">
        <f t="shared" ref="F45:F48" si="7">IFERROR((VLOOKUP(E45,$AJ$25:$AK$29,2,0)),"")</f>
        <v/>
      </c>
      <c r="G45" s="6"/>
      <c r="H45" s="6"/>
      <c r="I45" s="6"/>
      <c r="J45" s="174" t="str">
        <f>IFERROR((IF(E45&lt;&gt;"",VLOOKUP(E45,$AJ$25:$AP$29,7,0),"")),"")</f>
        <v/>
      </c>
      <c r="K45" s="363"/>
      <c r="L45" s="363"/>
      <c r="O45" t="s">
        <v>70</v>
      </c>
      <c r="P45" s="74" t="str">
        <f>_xlfn.CONCAT(D29,"_",G10)</f>
        <v>185 mm_600</v>
      </c>
      <c r="Q45">
        <f t="shared" si="5"/>
        <v>1</v>
      </c>
      <c r="R45">
        <f>IF(I29=Překlady!$D$79,(vnitřní!$G$10-(2*vnitřní!$G$13)-87),0)</f>
        <v>477</v>
      </c>
      <c r="S45">
        <f>IF(R45&gt;0,1,0)</f>
        <v>1</v>
      </c>
      <c r="Y45" s="64" t="str">
        <f>Karty!C150</f>
        <v>336113</v>
      </c>
      <c r="Z45" s="2" t="str">
        <f>Karty!B150</f>
        <v>StrongMax 16/18 előlapprofil 1100 mm, fehér</v>
      </c>
      <c r="AH45" t="str">
        <f t="shared" si="6"/>
        <v>121 mm</v>
      </c>
      <c r="AI45" t="str">
        <f>IF(AND(AH45="185 mm",I28=Překlady!$C$79),1,"")</f>
        <v/>
      </c>
      <c r="AN45" t="str">
        <f>CONCATENATE(Překlady!C32,"_1100")</f>
        <v>fekete_1100</v>
      </c>
      <c r="AP45" s="64" t="str">
        <f>Karty!C125</f>
        <v>400410</v>
      </c>
      <c r="AQ45" t="str">
        <f>Karty!B125</f>
        <v>StrongMax 16/18 kereszt reling 1100 mm, fekete</v>
      </c>
    </row>
    <row r="46" spans="1:43" x14ac:dyDescent="0.25">
      <c r="B46" s="6"/>
      <c r="C46" s="6"/>
      <c r="D46" s="6"/>
      <c r="E46" s="174" t="str" cm="1">
        <f t="array" ref="E46">IFERROR((INDEX($AJ$25:$AJ$29,MATCH(0,COUNTIF(E43:E45,$AJ$25:$AJ$29),0))),"")</f>
        <v/>
      </c>
      <c r="F46" s="6" t="str">
        <f t="shared" si="7"/>
        <v/>
      </c>
      <c r="G46" s="6"/>
      <c r="H46" s="6"/>
      <c r="I46" s="6"/>
      <c r="J46" s="174" t="str">
        <f>IFERROR((IF(E46&lt;&gt;"",VLOOKUP(E46,$AJ$25:$AP$29,7,0),"")),"")</f>
        <v/>
      </c>
      <c r="K46" s="363"/>
      <c r="L46" s="363"/>
      <c r="S46" t="s">
        <v>521</v>
      </c>
      <c r="T46" t="s">
        <v>522</v>
      </c>
      <c r="U46" t="s">
        <v>497</v>
      </c>
      <c r="Y46" s="64" t="str">
        <f>Karty!C149</f>
        <v>336112</v>
      </c>
      <c r="Z46" s="2" t="str">
        <f>Karty!B149</f>
        <v>StrongMax 16/18 előlapprofil 800 mm, fehér</v>
      </c>
      <c r="AH46" t="str">
        <f t="shared" si="6"/>
        <v>185 mm</v>
      </c>
      <c r="AI46">
        <f>IF(AND(AH46="185 mm",I29=Překlady!$C$79),1,"")</f>
        <v>1</v>
      </c>
    </row>
    <row r="47" spans="1:43" x14ac:dyDescent="0.25">
      <c r="B47" s="6"/>
      <c r="C47" s="6"/>
      <c r="D47" s="6"/>
      <c r="E47" s="174" t="str" cm="1">
        <f t="array" ref="E47">IFERROR((INDEX($AJ$25:$AJ$29,MATCH(0,COUNTIF(E43:E46,$AJ$25:$AJ$29),0))),"")</f>
        <v/>
      </c>
      <c r="F47" s="6" t="str">
        <f t="shared" si="7"/>
        <v/>
      </c>
      <c r="G47" s="6"/>
      <c r="H47" s="6"/>
      <c r="I47" s="6"/>
      <c r="J47" s="174" t="str">
        <f>IFERROR((IF(E47&lt;&gt;"",VLOOKUP(E47,$AJ$25:$AP$29,7,0),"")),"")</f>
        <v/>
      </c>
      <c r="K47" s="363"/>
      <c r="L47" s="363"/>
      <c r="R47">
        <f>$G$10-(2*$G$13)-87+4</f>
        <v>481</v>
      </c>
      <c r="S47">
        <f>FLOOR(800/R47,1)</f>
        <v>1</v>
      </c>
      <c r="T47">
        <f>FLOOR(1100/R47,1)</f>
        <v>2</v>
      </c>
      <c r="U47" s="2">
        <f>SUM(S41:S45)</f>
        <v>3</v>
      </c>
      <c r="Z47" s="2"/>
    </row>
    <row r="48" spans="1:43" x14ac:dyDescent="0.25">
      <c r="B48" s="6"/>
      <c r="C48" s="6"/>
      <c r="D48" s="6"/>
      <c r="E48" s="174" t="str" cm="1">
        <f t="array" ref="E48">IFERROR((INDEX($AJ$25:$AJ$29,MATCH(0,COUNTIF(E43:E47,$AJ$25:$AJ$29),0))),"")</f>
        <v/>
      </c>
      <c r="F48" s="6" t="str">
        <f t="shared" si="7"/>
        <v/>
      </c>
      <c r="G48" s="6"/>
      <c r="H48" s="6"/>
      <c r="I48" s="6"/>
      <c r="J48" s="174" t="str">
        <f>IFERROR((IF(E48&lt;&gt;"",VLOOKUP(E48,$AJ$25:$AP$29,7,0),"")),"")</f>
        <v/>
      </c>
      <c r="K48" s="6"/>
      <c r="L48" s="6"/>
      <c r="Z48" s="2"/>
    </row>
    <row r="49" spans="1:53" x14ac:dyDescent="0.25">
      <c r="B49" s="6"/>
      <c r="C49" s="6"/>
      <c r="D49" s="6"/>
      <c r="E49" s="174"/>
      <c r="F49" s="6"/>
      <c r="G49" s="6"/>
      <c r="H49" s="6"/>
      <c r="I49" s="6"/>
      <c r="J49" s="174"/>
      <c r="K49" s="6"/>
      <c r="L49" s="6"/>
      <c r="U49">
        <v>800</v>
      </c>
      <c r="V49">
        <v>1100</v>
      </c>
      <c r="Z49" s="2"/>
      <c r="AA49" s="24" t="s">
        <v>523</v>
      </c>
      <c r="AB49" s="2">
        <f>IF(U47&gt;0,FLOOR(1100/R47,1),0)</f>
        <v>2</v>
      </c>
    </row>
    <row r="50" spans="1:53" x14ac:dyDescent="0.25">
      <c r="A50" s="164"/>
      <c r="B50" s="173" t="str">
        <f>IFERROR((IF(J50&gt;0,Překlady!C107,"")),"")</f>
        <v>Előlapi profil:</v>
      </c>
      <c r="C50" s="173"/>
      <c r="D50" s="6"/>
      <c r="E50" s="176" t="str">
        <f>IFERROR((IF(J50&gt;0,IF(K25=U2,Y45,IF(K25=U3,Y43,IF(K25=U4,Y42,""))),"")),"")</f>
        <v/>
      </c>
      <c r="F50" s="1" t="str">
        <f>IFERROR((IF(J50&gt;0,IF(K25=U4,Z42,VLOOKUP(E50,Y43:Z46,2,0)),"")),"")</f>
        <v/>
      </c>
      <c r="G50" s="1"/>
      <c r="H50" s="6"/>
      <c r="I50" s="6"/>
      <c r="J50" s="177">
        <f>IF(K25=U4,AB50,V70)</f>
        <v>1</v>
      </c>
      <c r="K50" s="6"/>
      <c r="L50" s="6"/>
      <c r="P50">
        <v>800</v>
      </c>
      <c r="R50">
        <v>800</v>
      </c>
      <c r="S50">
        <f>S47</f>
        <v>1</v>
      </c>
      <c r="T50" t="str">
        <f>IF(S50&gt;=U47,1,"")</f>
        <v/>
      </c>
      <c r="U50" t="str">
        <f>IF(T50=1,1,"")</f>
        <v/>
      </c>
      <c r="Z50" s="2"/>
      <c r="AA50" s="24" t="s">
        <v>524</v>
      </c>
      <c r="AB50">
        <f>IF(AB49&gt;U47,1,CEILING(U47/AB49,1))</f>
        <v>2</v>
      </c>
      <c r="AL50" t="s">
        <v>521</v>
      </c>
      <c r="AM50" t="s">
        <v>522</v>
      </c>
      <c r="AN50" t="s">
        <v>497</v>
      </c>
      <c r="AO50" t="s">
        <v>525</v>
      </c>
      <c r="AZ50" t="s">
        <v>522</v>
      </c>
      <c r="BA50" t="s">
        <v>497</v>
      </c>
    </row>
    <row r="51" spans="1:53" x14ac:dyDescent="0.25">
      <c r="B51" s="42" t="str">
        <f>IF(AND(B50="",J51&gt;0),Překlady!C107,"")</f>
        <v/>
      </c>
      <c r="C51" s="6"/>
      <c r="D51" s="1"/>
      <c r="E51" s="176" t="str">
        <f>IF(J51&gt;0,IF(K25=U2,Y46,IF(K25=U3,Y44,"")),"")</f>
        <v/>
      </c>
      <c r="F51" s="1" t="str">
        <f>IF(E51&lt;&gt;"",VLOOKUP(E51,Y43:Z46,2,0),"")</f>
        <v/>
      </c>
      <c r="G51" s="1"/>
      <c r="H51" s="1"/>
      <c r="I51" s="1"/>
      <c r="J51" s="177">
        <f>IF(K25="","",IF(K25=U4,0,U70))</f>
        <v>1</v>
      </c>
      <c r="K51" s="6"/>
      <c r="L51" s="6"/>
      <c r="P51">
        <v>1100</v>
      </c>
      <c r="R51">
        <v>1100</v>
      </c>
      <c r="S51">
        <f>T47</f>
        <v>2</v>
      </c>
      <c r="T51" t="str">
        <f>IF(S51&gt;=U47,IF(T50=1,"",1),"")</f>
        <v/>
      </c>
      <c r="V51" t="str">
        <f>IF(T51=1,1,"")</f>
        <v/>
      </c>
      <c r="Z51" s="2"/>
      <c r="AJ51" s="24" t="s">
        <v>526</v>
      </c>
      <c r="AK51">
        <f>$G$10-(2*$G$13)-AL39+4</f>
        <v>513</v>
      </c>
      <c r="AL51" t="str">
        <f>IF(AO51=1,FLOOR(800/AK51,1),"")</f>
        <v/>
      </c>
      <c r="AM51" t="str">
        <f>IF(AO51=1,FLOOR(1100/AK51,1),"")</f>
        <v/>
      </c>
      <c r="AN51" s="2">
        <f>SUM(AI41:AI46)</f>
        <v>1</v>
      </c>
      <c r="AO51" t="str">
        <f>IF(OR(K25=U2,K25=U3),1,IF(K25=U4,2,""))</f>
        <v/>
      </c>
      <c r="AR51" s="24" t="s">
        <v>527</v>
      </c>
      <c r="AS51" s="2">
        <f>IF(AO51=2,FLOOR(1100/AK51,1),0)</f>
        <v>0</v>
      </c>
      <c r="AX51" s="24" t="s">
        <v>526</v>
      </c>
      <c r="AY51">
        <f>$G$10-(2*$G$13)-87+2</f>
        <v>479</v>
      </c>
      <c r="AZ51" s="165">
        <f>FLOOR(1100/AY51,1)</f>
        <v>2</v>
      </c>
      <c r="BA51">
        <f>COUNTIF(I25:I29,Překlady!C78)</f>
        <v>0</v>
      </c>
    </row>
    <row r="52" spans="1:53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P52" t="s">
        <v>528</v>
      </c>
      <c r="R52">
        <f>800+800</f>
        <v>1600</v>
      </c>
      <c r="S52">
        <f>S47+S47</f>
        <v>2</v>
      </c>
      <c r="T52" t="str">
        <f>IF(S52&gt;=U47,IF(S51&gt;=U47,"",1),"")</f>
        <v/>
      </c>
      <c r="U52" t="str">
        <f>IF(T52=1,2,"")</f>
        <v/>
      </c>
      <c r="Z52" s="2"/>
      <c r="AR52" s="24" t="s">
        <v>524</v>
      </c>
      <c r="AS52">
        <f>IFERROR((IF(AS51&gt;U47,1,CEILING(U47/AS51,1))),0)</f>
        <v>0</v>
      </c>
    </row>
    <row r="53" spans="1:53" x14ac:dyDescent="0.25">
      <c r="B53" s="42" t="str">
        <f>IF(OR(U70&gt;0,V70&gt;0),Překlady!C108,"")</f>
        <v>Előlapi profil tartó:</v>
      </c>
      <c r="C53" s="6"/>
      <c r="D53" s="6"/>
      <c r="E53" s="174" t="str" cm="1">
        <f t="array" ref="E53">IFERROR((INDEX($AA$25:$AA$29,MATCH(0,COUNTIF(E52,$AA$25:$AA$29),0))),"")</f>
        <v/>
      </c>
      <c r="F53" s="6" t="str">
        <f>IFERROR((VLOOKUP(E53,$AA$25:$AB$29,2,0)),"")</f>
        <v/>
      </c>
      <c r="G53" s="6"/>
      <c r="H53" s="6"/>
      <c r="I53" s="6"/>
      <c r="J53" s="177" t="str">
        <f>IFERROR((IF(E53&lt;&gt;"",VLOOKUP(E53,$AA$25:$AG$29,7,0),"")),"")</f>
        <v/>
      </c>
      <c r="K53" s="6"/>
      <c r="L53" s="6"/>
      <c r="P53" t="s">
        <v>529</v>
      </c>
      <c r="R53">
        <f>800+1100</f>
        <v>1900</v>
      </c>
      <c r="S53">
        <f>S47+T47</f>
        <v>3</v>
      </c>
      <c r="T53">
        <f>IF(S53&gt;=$U$47,IF(SUM($T$50:T52)&gt;0,"",1),"")</f>
        <v>1</v>
      </c>
      <c r="U53">
        <f>IF(T53=1,1,"")</f>
        <v>1</v>
      </c>
      <c r="V53">
        <f>IF(T53=1,1,"")</f>
        <v>1</v>
      </c>
      <c r="Z53" s="2"/>
      <c r="AN53">
        <v>800</v>
      </c>
      <c r="AO53">
        <v>1100</v>
      </c>
      <c r="AZ53" s="2"/>
    </row>
    <row r="54" spans="1:53" x14ac:dyDescent="0.25">
      <c r="B54" s="6"/>
      <c r="C54" s="6"/>
      <c r="D54" s="6"/>
      <c r="E54" s="174" t="str" cm="1">
        <f t="array" ref="E54">IFERROR((INDEX($AA$25:$AA$29,MATCH(0,COUNTIF(E52:E53,$AA$25:$AA$29),0))),"")</f>
        <v/>
      </c>
      <c r="F54" s="6" t="str">
        <f>IFERROR((VLOOKUP(E54,$AA$25:$AB$29,2,0)),"")</f>
        <v/>
      </c>
      <c r="G54" s="6"/>
      <c r="H54" s="6"/>
      <c r="I54" s="6"/>
      <c r="J54" s="177" t="str">
        <f>IFERROR((IF(E54&lt;&gt;"",VLOOKUP(E54,$AA$25:$AG$29,7,0),"")),"")</f>
        <v/>
      </c>
      <c r="K54" s="6"/>
      <c r="L54" s="6"/>
      <c r="P54" t="s">
        <v>530</v>
      </c>
      <c r="R54">
        <f>1100+1100</f>
        <v>2200</v>
      </c>
      <c r="S54">
        <f>T47+T47</f>
        <v>4</v>
      </c>
      <c r="T54" t="str">
        <f>IF(S54&gt;=$U$47,IF(SUM($T$50:T53)&gt;0,"",1),"")</f>
        <v/>
      </c>
      <c r="V54" t="str">
        <f>IF(T54=1,2,"")</f>
        <v/>
      </c>
      <c r="Z54" s="2"/>
      <c r="AI54">
        <v>800</v>
      </c>
      <c r="AK54">
        <v>800</v>
      </c>
      <c r="AL54" t="str">
        <f>AL51</f>
        <v/>
      </c>
      <c r="AM54">
        <f>IF(AL54&gt;=AN51,1,"")</f>
        <v>1</v>
      </c>
      <c r="AN54">
        <f>IF(AM54=1,1,"")</f>
        <v>1</v>
      </c>
      <c r="AZ54" s="2"/>
    </row>
    <row r="55" spans="1:53" x14ac:dyDescent="0.25">
      <c r="B55" s="6"/>
      <c r="C55" s="6"/>
      <c r="D55" s="6"/>
      <c r="E55" s="174" t="str" cm="1">
        <f t="array" ref="E55">IFERROR((INDEX($AA$25:$AA$29,MATCH(0,COUNTIF(E52:E54,$AA$25:$AA$29),0))),"")</f>
        <v/>
      </c>
      <c r="F55" s="6" t="str">
        <f>IFERROR((VLOOKUP(E55,$AA$25:$AB$29,2,0)),"")</f>
        <v/>
      </c>
      <c r="G55" s="6"/>
      <c r="H55" s="6"/>
      <c r="I55" s="6"/>
      <c r="J55" s="177" t="str">
        <f>IFERROR((IF(E55&lt;&gt;"",VLOOKUP(E55,$AA$25:$AG$29,7,0),"")),"")</f>
        <v/>
      </c>
      <c r="K55" s="6"/>
      <c r="L55" s="6"/>
      <c r="P55" t="s">
        <v>531</v>
      </c>
      <c r="R55">
        <f>800+800+800</f>
        <v>2400</v>
      </c>
      <c r="S55">
        <f>S47+S47+S47</f>
        <v>3</v>
      </c>
      <c r="T55" t="str">
        <f>IF(S55&gt;=$U$47,IF(SUM($T$50:T54)&gt;0,"",1),"")</f>
        <v/>
      </c>
      <c r="U55" t="str">
        <f>IF(T55=1,3,"")</f>
        <v/>
      </c>
      <c r="Z55" s="2"/>
      <c r="AI55">
        <v>1100</v>
      </c>
      <c r="AK55">
        <v>1100</v>
      </c>
      <c r="AL55" t="str">
        <f>AM51</f>
        <v/>
      </c>
      <c r="AM55" t="str">
        <f>IF(AL55&gt;=AN51,IF(AM54=1,"",1),"")</f>
        <v/>
      </c>
      <c r="AO55" t="str">
        <f>IF(AM55=1,1,"")</f>
        <v/>
      </c>
      <c r="AZ55" s="2"/>
    </row>
    <row r="56" spans="1:53" x14ac:dyDescent="0.25">
      <c r="B56" s="6"/>
      <c r="C56" s="6"/>
      <c r="D56" s="6"/>
      <c r="E56" s="174" t="str" cm="1">
        <f t="array" ref="E56">IFERROR((INDEX($AA$25:$AA$29,MATCH(0,COUNTIF(E52:E55,$AA$25:$AA$29),0))),"")</f>
        <v/>
      </c>
      <c r="F56" s="6" t="str">
        <f>IFERROR((VLOOKUP(E56,$AA$25:$AB$29,2,0)),"")</f>
        <v/>
      </c>
      <c r="G56" s="6"/>
      <c r="H56" s="6"/>
      <c r="I56" s="6"/>
      <c r="J56" s="177" t="str">
        <f>IFERROR((IF(E56&lt;&gt;"",VLOOKUP(E56,$AA$25:$AG$29,7,0),"")),"")</f>
        <v/>
      </c>
      <c r="K56" s="6"/>
      <c r="L56" s="6"/>
      <c r="P56" t="s">
        <v>532</v>
      </c>
      <c r="R56">
        <f>800+800+1100</f>
        <v>2700</v>
      </c>
      <c r="S56">
        <f>S47+S47+T47</f>
        <v>4</v>
      </c>
      <c r="T56" t="str">
        <f>IF(S56&gt;=$U$47,IF(SUM($T$50:T55)&gt;0,"",1),"")</f>
        <v/>
      </c>
      <c r="U56" t="str">
        <f t="shared" ref="U56" si="8">IF(T56=1,2,"")</f>
        <v/>
      </c>
      <c r="V56" t="str">
        <f t="shared" ref="V56" si="9">IF(T56=1,1,"")</f>
        <v/>
      </c>
      <c r="Z56" s="2"/>
      <c r="AI56" t="s">
        <v>528</v>
      </c>
      <c r="AK56">
        <f>800+800</f>
        <v>1600</v>
      </c>
      <c r="AL56" t="e">
        <f>AL51+AL51</f>
        <v>#VALUE!</v>
      </c>
      <c r="AM56" t="e">
        <f>IF(AL56&gt;=AN51,IF(AL55&gt;=AN51,"",1),"")</f>
        <v>#VALUE!</v>
      </c>
      <c r="AN56" t="e">
        <f>IF(AM56=1,2,"")</f>
        <v>#VALUE!</v>
      </c>
      <c r="AZ56" s="2"/>
    </row>
    <row r="57" spans="1:53" x14ac:dyDescent="0.25">
      <c r="B57" s="6"/>
      <c r="C57" s="6"/>
      <c r="D57" s="6"/>
      <c r="E57" s="174" t="str" cm="1">
        <f t="array" ref="E57">IFERROR((INDEX($AA$25:$AA$29,MATCH(0,COUNTIF(E53:E56,$AA$25:$AA$29),0))),"")</f>
        <v/>
      </c>
      <c r="F57" s="6" t="str">
        <f>IFERROR((VLOOKUP(E57,$AA$25:$AB$29,2,0)),"")</f>
        <v/>
      </c>
      <c r="G57" s="6"/>
      <c r="H57" s="6"/>
      <c r="I57" s="6"/>
      <c r="J57" s="177" t="str">
        <f>IFERROR((IF(E57&lt;&gt;"",VLOOKUP(E57,$AA$25:$AG$29,7,0),"")),"")</f>
        <v/>
      </c>
      <c r="K57" s="6"/>
      <c r="L57" s="6"/>
      <c r="P57" t="s">
        <v>533</v>
      </c>
      <c r="R57">
        <f>800+1100+1100</f>
        <v>3000</v>
      </c>
      <c r="S57">
        <f>S47+T47+T47</f>
        <v>5</v>
      </c>
      <c r="T57" t="str">
        <f>IF(S57&gt;=$U$47,IF(SUM($T$50:T56)&gt;0,"",1),"")</f>
        <v/>
      </c>
      <c r="U57" t="str">
        <f>IF(T57=1,1,"")</f>
        <v/>
      </c>
      <c r="V57" t="str">
        <f>IF(T57=1,2,"")</f>
        <v/>
      </c>
      <c r="Z57" s="2"/>
      <c r="AI57" t="s">
        <v>529</v>
      </c>
      <c r="AK57">
        <f>800+1100</f>
        <v>1900</v>
      </c>
      <c r="AL57" t="e">
        <f>AL51+AM51</f>
        <v>#VALUE!</v>
      </c>
      <c r="AM57" t="e">
        <f>IF(AL57&gt;=$U$47,IF(SUM($AM$54:AM56)&gt;0,"",1),"")</f>
        <v>#VALUE!</v>
      </c>
      <c r="AN57" t="e">
        <f>IF(AM57=1,1,"")</f>
        <v>#VALUE!</v>
      </c>
      <c r="AO57" t="e">
        <f>IF(AM57=1,1,"")</f>
        <v>#VALUE!</v>
      </c>
      <c r="AZ57" s="2"/>
    </row>
    <row r="58" spans="1:53" x14ac:dyDescent="0.25">
      <c r="B58" s="6"/>
      <c r="C58" s="6"/>
      <c r="D58" s="6"/>
      <c r="E58" s="174"/>
      <c r="F58" s="6"/>
      <c r="G58" s="6"/>
      <c r="H58" s="6"/>
      <c r="I58" s="6"/>
      <c r="J58" s="174"/>
      <c r="K58" s="6"/>
      <c r="L58" s="6"/>
      <c r="P58" t="s">
        <v>534</v>
      </c>
      <c r="R58">
        <f>4*800</f>
        <v>3200</v>
      </c>
      <c r="S58">
        <f>S47+S47+S47+S47</f>
        <v>4</v>
      </c>
      <c r="T58" t="str">
        <f>IF(S58&gt;=$U$47,IF(SUM($T$50:T57)&gt;0,"",1),"")</f>
        <v/>
      </c>
      <c r="U58" t="str">
        <f>IF(T58=1,4,"")</f>
        <v/>
      </c>
      <c r="Z58" s="2"/>
      <c r="AI58" t="s">
        <v>530</v>
      </c>
      <c r="AK58">
        <f>1100+1100</f>
        <v>2200</v>
      </c>
      <c r="AL58" t="e">
        <f>AM51+AM51</f>
        <v>#VALUE!</v>
      </c>
      <c r="AM58" t="e">
        <f>IF(AL58&gt;=$U$47,IF(SUM($AM$54:AM57)&gt;0,"",1),"")</f>
        <v>#VALUE!</v>
      </c>
      <c r="AO58" t="e">
        <f>IF(AM58=1,2,"")</f>
        <v>#VALUE!</v>
      </c>
    </row>
    <row r="59" spans="1:53" x14ac:dyDescent="0.25">
      <c r="B59" s="56" t="str">
        <f>IF(J59&lt;&gt;"",Překlady!C109,"")</f>
        <v/>
      </c>
      <c r="C59" s="56"/>
      <c r="D59" s="56"/>
      <c r="E59" s="174" t="str">
        <f>IFERROR((IF(J59&gt;0,IF(AP76&gt;0,AP45,VLOOKUP(AO77,AN41:AP45,3,0)))),"")</f>
        <v/>
      </c>
      <c r="F59" s="6" t="str">
        <f>IFERROR((IF(J59&gt;0,VLOOKUP(E59,AP41:AQ45,2,0),"")),"")</f>
        <v/>
      </c>
      <c r="G59" s="6"/>
      <c r="H59" s="6"/>
      <c r="I59" s="6"/>
      <c r="J59" s="174" t="str">
        <f>IF(AO76&gt;0,AO76,IF(AP76&gt;0,AP76,""))</f>
        <v/>
      </c>
      <c r="K59" s="6"/>
      <c r="L59" s="6"/>
      <c r="P59" t="s">
        <v>535</v>
      </c>
      <c r="R59">
        <f>1100+1100+1100</f>
        <v>3300</v>
      </c>
      <c r="S59">
        <f>T47+T47+T47</f>
        <v>6</v>
      </c>
      <c r="T59" t="str">
        <f>IF(S59&gt;=$U$47,IF(SUM($T$50:T58)&gt;0,"",1),"")</f>
        <v/>
      </c>
      <c r="V59" t="str">
        <f>IF(T59=1,3,"")</f>
        <v/>
      </c>
      <c r="Z59" s="2"/>
      <c r="AI59" t="s">
        <v>531</v>
      </c>
      <c r="AK59">
        <f>800+800+800</f>
        <v>2400</v>
      </c>
      <c r="AL59" t="e">
        <f>AL51+AL51+AL51</f>
        <v>#VALUE!</v>
      </c>
      <c r="AM59" t="e">
        <f>IF(AL59&gt;=$U$47,IF(SUM($AM$54:AM58)&gt;0,"",1),"")</f>
        <v>#VALUE!</v>
      </c>
      <c r="AN59" t="e">
        <f>IF(AM59=1,3,"")</f>
        <v>#VALUE!</v>
      </c>
    </row>
    <row r="60" spans="1:53" x14ac:dyDescent="0.25">
      <c r="B60" s="56" t="str">
        <f>IF(AND(B59="",J60&lt;&gt;""),Překlady!C109,"")</f>
        <v/>
      </c>
      <c r="C60" s="56"/>
      <c r="D60" s="56"/>
      <c r="E60" s="174" t="str">
        <f>IFERROR((IF(AN76&gt;0,VLOOKUP(AN77,AN41:AP45,3,0),"")),"")</f>
        <v/>
      </c>
      <c r="F60" s="6" t="str">
        <f>IFERROR((IF(AN76&gt;0,VLOOKUP(E60,AP41:AQ45,2,0),"")),"")</f>
        <v/>
      </c>
      <c r="G60" s="6"/>
      <c r="H60" s="6"/>
      <c r="I60" s="6"/>
      <c r="J60" s="174" t="str">
        <f>IFERROR((IF(AN76&gt;0,AN76,"")),"")</f>
        <v/>
      </c>
      <c r="K60" s="6"/>
      <c r="L60" s="6"/>
      <c r="P60" t="s">
        <v>536</v>
      </c>
      <c r="R60">
        <f>800+800+800+1100</f>
        <v>3500</v>
      </c>
      <c r="S60">
        <f>S47+S47+S47+T47</f>
        <v>5</v>
      </c>
      <c r="T60" t="str">
        <f>IF(S60&gt;=$U$47,IF(SUM($T$50:T59)&gt;0,"",1),"")</f>
        <v/>
      </c>
      <c r="U60" t="str">
        <f>IF(T60=1,3,"")</f>
        <v/>
      </c>
      <c r="V60" t="str">
        <f>IF(T60=1,1,"")</f>
        <v/>
      </c>
      <c r="Z60" s="2"/>
      <c r="AI60" t="s">
        <v>532</v>
      </c>
      <c r="AK60">
        <f>800+800+1100</f>
        <v>2700</v>
      </c>
      <c r="AL60" t="e">
        <f>AL51+AL51+AM51</f>
        <v>#VALUE!</v>
      </c>
      <c r="AM60" t="e">
        <f>IF(AL60&gt;=$U$47,IF(SUM($AM$54:AM59)&gt;0,"",1),"")</f>
        <v>#VALUE!</v>
      </c>
      <c r="AN60" t="e">
        <f t="shared" ref="AN60" si="10">IF(AM60=1,2,"")</f>
        <v>#VALUE!</v>
      </c>
      <c r="AO60" t="e">
        <f t="shared" ref="AO60" si="11">IF(AM60=1,1,"")</f>
        <v>#VALUE!</v>
      </c>
    </row>
    <row r="61" spans="1:53" x14ac:dyDescent="0.25">
      <c r="B61" s="6"/>
      <c r="C61" s="6"/>
      <c r="D61" s="6"/>
      <c r="E61" s="174"/>
      <c r="F61" s="6"/>
      <c r="G61" s="6"/>
      <c r="H61" s="6"/>
      <c r="I61" s="6"/>
      <c r="J61" s="174"/>
      <c r="K61" s="6"/>
      <c r="L61" s="6"/>
      <c r="P61" t="s">
        <v>537</v>
      </c>
      <c r="R61">
        <f>800+800+1100+1100</f>
        <v>3800</v>
      </c>
      <c r="S61">
        <f>S47+S47+T47+T47</f>
        <v>6</v>
      </c>
      <c r="T61" t="str">
        <f>IF(S61&gt;=$U$47,IF(SUM($T$50:T60)&gt;0,"",1),"")</f>
        <v/>
      </c>
      <c r="U61" t="str">
        <f>IF(T61=1,2,"")</f>
        <v/>
      </c>
      <c r="V61" t="str">
        <f>IF(T61=1,2,"")</f>
        <v/>
      </c>
      <c r="Z61" s="2"/>
      <c r="AI61" t="s">
        <v>533</v>
      </c>
      <c r="AK61">
        <f>800+1100+1100</f>
        <v>3000</v>
      </c>
      <c r="AL61" t="e">
        <f>AL51+AM51+AM51</f>
        <v>#VALUE!</v>
      </c>
      <c r="AM61" t="e">
        <f>IF(AL61&gt;=$U$47,IF(SUM($AM$54:AM60)&gt;0,"",1),"")</f>
        <v>#VALUE!</v>
      </c>
      <c r="AN61" t="e">
        <f>IF(AM61=1,1,"")</f>
        <v>#VALUE!</v>
      </c>
      <c r="AO61" t="e">
        <f>IF(AM61=1,2,"")</f>
        <v>#VALUE!</v>
      </c>
    </row>
    <row r="62" spans="1:53" x14ac:dyDescent="0.25">
      <c r="B62" s="42" t="str">
        <f>IF(OR(I25=Překlady!C78,I26=Překlady!C78,I27=Překlady!C78,I28=Překlady!C78,I29=Překlady!C78),Překlady!C112,"")</f>
        <v/>
      </c>
      <c r="C62" s="6"/>
      <c r="D62" s="6"/>
      <c r="E62" s="174" t="str" cm="1">
        <f t="array" ref="E62">IFERROR((INDEX($AT$25:$AT$29,MATCH(0,COUNTIF(E61,$AT$25:$AT$29),0))),"")</f>
        <v/>
      </c>
      <c r="F62" s="6" t="str">
        <f>IF(B62=Překlady!C112,IFERROR((VLOOKUP(E62,$AT$25:$AU$29,2,0)),Překlady!C113),"")</f>
        <v/>
      </c>
      <c r="G62" s="6"/>
      <c r="H62" s="6"/>
      <c r="I62" s="6"/>
      <c r="J62" s="177" t="str">
        <f>IFERROR((IF(E62&lt;&gt;"",VLOOKUP(E62,$AT$25:$BA$29,8,0),"")),"")</f>
        <v/>
      </c>
      <c r="K62" s="6"/>
      <c r="L62" s="6"/>
      <c r="P62" t="s">
        <v>538</v>
      </c>
      <c r="R62">
        <f>800+800+800+800+800</f>
        <v>4000</v>
      </c>
      <c r="S62">
        <f>5*S47</f>
        <v>5</v>
      </c>
      <c r="T62" t="str">
        <f>IF(S62&gt;=$U$47,IF(SUM($T$50:T61)&gt;0,"",1),"")</f>
        <v/>
      </c>
      <c r="U62" t="str">
        <f>IF(T62=1,5,"")</f>
        <v/>
      </c>
      <c r="Z62" s="2"/>
      <c r="AI62" t="s">
        <v>534</v>
      </c>
      <c r="AK62">
        <f>4*800</f>
        <v>3200</v>
      </c>
      <c r="AL62" t="e">
        <f>AL51+AL51+AL51+AL51</f>
        <v>#VALUE!</v>
      </c>
      <c r="AM62" t="e">
        <f>IF(AL62&gt;=$U$47,IF(SUM($AM$54:AM61)&gt;0,"",1),"")</f>
        <v>#VALUE!</v>
      </c>
      <c r="AN62" t="e">
        <f>IF(AM62=1,4,"")</f>
        <v>#VALUE!</v>
      </c>
    </row>
    <row r="63" spans="1:53" x14ac:dyDescent="0.25">
      <c r="B63" s="6"/>
      <c r="C63" s="6"/>
      <c r="D63" s="6"/>
      <c r="E63" s="174" t="str" cm="1">
        <f t="array" ref="E63">IFERROR((INDEX($AT$25:$AT$29,MATCH(0,COUNTIF(E61:E62,$AT$25:$AT$29),0))),"")</f>
        <v/>
      </c>
      <c r="F63" s="6" t="str">
        <f t="shared" ref="F63:F66" si="12">IFERROR((VLOOKUP(E63,$AT$25:$AU$29,2,0)),"")</f>
        <v/>
      </c>
      <c r="G63" s="187"/>
      <c r="H63" s="6"/>
      <c r="I63" s="6"/>
      <c r="J63" s="177" t="str">
        <f>IFERROR((IF(E63&lt;&gt;"",VLOOKUP(E63,$AT$25:$BA$29,8,0),"")),"")</f>
        <v/>
      </c>
      <c r="K63" s="6"/>
      <c r="L63" s="6"/>
      <c r="P63" t="s">
        <v>539</v>
      </c>
      <c r="R63">
        <f>3*1100+800</f>
        <v>4100</v>
      </c>
      <c r="S63">
        <f>T47+T47+T47+S47</f>
        <v>7</v>
      </c>
      <c r="T63" t="str">
        <f>IF(S63&gt;=$U$47,IF(SUM($T$50:T62)&gt;0,"",1),"")</f>
        <v/>
      </c>
      <c r="U63" t="str">
        <f>IF(T63=1,1,"")</f>
        <v/>
      </c>
      <c r="V63" t="str">
        <f>IF(T63=1,3,"")</f>
        <v/>
      </c>
      <c r="Z63" s="2"/>
      <c r="AI63" t="s">
        <v>535</v>
      </c>
      <c r="AK63">
        <f>1100+1100+1100</f>
        <v>3300</v>
      </c>
      <c r="AL63" t="e">
        <f>AM51+AM51+AM51</f>
        <v>#VALUE!</v>
      </c>
      <c r="AM63" t="e">
        <f>IF(AL63&gt;=$U$47,IF(SUM($AM$54:AM62)&gt;0,"",1),"")</f>
        <v>#VALUE!</v>
      </c>
      <c r="AO63" t="e">
        <f>IF(AM63=1,3,"")</f>
        <v>#VALUE!</v>
      </c>
    </row>
    <row r="64" spans="1:53" x14ac:dyDescent="0.25">
      <c r="B64" s="6"/>
      <c r="C64" s="6"/>
      <c r="D64" s="6"/>
      <c r="E64" s="174" t="str" cm="1">
        <f t="array" ref="E64">IFERROR((INDEX($AT$25:$AT$29,MATCH(0,COUNTIF(E61:E63,$AT$25:$AT$29),0))),"")</f>
        <v/>
      </c>
      <c r="F64" s="6" t="str">
        <f t="shared" si="12"/>
        <v/>
      </c>
      <c r="G64" s="6"/>
      <c r="H64" s="6"/>
      <c r="I64" s="6"/>
      <c r="J64" s="177" t="str">
        <f>IFERROR((IF(E64&lt;&gt;"",VLOOKUP(E64,$AT$25:$BA$29,8,0),"")),"")</f>
        <v/>
      </c>
      <c r="K64" s="6"/>
      <c r="L64" s="6"/>
      <c r="P64" t="s">
        <v>540</v>
      </c>
      <c r="R64">
        <f>800+800+800+800+1100</f>
        <v>4300</v>
      </c>
      <c r="S64">
        <f>4*S47+T47</f>
        <v>6</v>
      </c>
      <c r="T64" t="str">
        <f>IF(S64&gt;=$U$47,IF(SUM($T$50:T63)&gt;0,"",1),"")</f>
        <v/>
      </c>
      <c r="U64" t="str">
        <f>IF(T64=1,4,"")</f>
        <v/>
      </c>
      <c r="V64" t="str">
        <f t="shared" ref="V64" si="13">IF(T64=1,1,"")</f>
        <v/>
      </c>
      <c r="Z64" s="2"/>
      <c r="AI64" t="s">
        <v>536</v>
      </c>
      <c r="AK64">
        <f>800+800+800+1100</f>
        <v>3500</v>
      </c>
      <c r="AL64" t="e">
        <f>AL51+AL51+AL51+AM51</f>
        <v>#VALUE!</v>
      </c>
      <c r="AM64" t="e">
        <f>IF(AL64&gt;=$U$47,IF(SUM($AM$54:AM63)&gt;0,"",1),"")</f>
        <v>#VALUE!</v>
      </c>
      <c r="AN64" t="e">
        <f>IF(AM64=1,3,"")</f>
        <v>#VALUE!</v>
      </c>
      <c r="AO64" t="e">
        <f>IF(AM64=1,1,"")</f>
        <v>#VALUE!</v>
      </c>
    </row>
    <row r="65" spans="1:42" x14ac:dyDescent="0.25">
      <c r="B65" s="6"/>
      <c r="C65" s="6"/>
      <c r="D65" s="6"/>
      <c r="E65" s="174" t="str" cm="1">
        <f t="array" ref="E65">IFERROR((INDEX($AT$25:$AT$29,MATCH(0,COUNTIF(E61:E64,$AT$25:$AT$29),0))),"")</f>
        <v/>
      </c>
      <c r="F65" s="6" t="str">
        <f t="shared" si="12"/>
        <v/>
      </c>
      <c r="G65" s="6"/>
      <c r="H65" s="6"/>
      <c r="I65" s="6"/>
      <c r="J65" s="177" t="str">
        <f>IFERROR((IF(E65&lt;&gt;"",VLOOKUP(E65,$AT$25:$BA$29,8,0),"")),"")</f>
        <v/>
      </c>
      <c r="K65" s="6"/>
      <c r="L65" s="6"/>
      <c r="P65" t="s">
        <v>541</v>
      </c>
      <c r="R65">
        <f>1100+1100+1100+1100</f>
        <v>4400</v>
      </c>
      <c r="S65">
        <f>4*T47</f>
        <v>8</v>
      </c>
      <c r="T65" t="str">
        <f>IF(S65&gt;=$U$47,IF(SUM($T$50:T64)&gt;0,"",1),"")</f>
        <v/>
      </c>
      <c r="V65" t="str">
        <f>IF(T65=1,4,"")</f>
        <v/>
      </c>
      <c r="X65">
        <v>5</v>
      </c>
      <c r="Y65" t="str">
        <f>IF(I25=Překlady!$C$78,CONCATENATE(D25,"_",$K$25),"")</f>
        <v/>
      </c>
      <c r="Z65" s="2" t="str">
        <f>IF(I25=Překlady!$C$78,VLOOKUP(Y65,Karty!$O$126:$P$134,2,0),"")</f>
        <v/>
      </c>
      <c r="AA65" t="str">
        <f>IF(I25=Překlady!$C$78,VLOOKUP(Y65,Karty!$O$126:$Q$134,3,0),"")</f>
        <v/>
      </c>
      <c r="AE65" t="str">
        <f>IF(I25=Překlady!$C$78,COUNTIF($Z$65:$Z$69,Z65),"")</f>
        <v/>
      </c>
      <c r="AI65" t="s">
        <v>537</v>
      </c>
      <c r="AK65">
        <f>800+800+1100+1100</f>
        <v>3800</v>
      </c>
      <c r="AL65" t="e">
        <f>AL51+AL51+AM51+AM51</f>
        <v>#VALUE!</v>
      </c>
      <c r="AM65" t="e">
        <f>IF(AL65&gt;=$U$47,IF(SUM($AM$54:AM64)&gt;0,"",1),"")</f>
        <v>#VALUE!</v>
      </c>
      <c r="AN65" t="e">
        <f>IF(AM65=1,2,"")</f>
        <v>#VALUE!</v>
      </c>
      <c r="AO65" t="e">
        <f>IF(AM65=1,2,"")</f>
        <v>#VALUE!</v>
      </c>
    </row>
    <row r="66" spans="1:42" x14ac:dyDescent="0.25">
      <c r="B66" s="6"/>
      <c r="C66" s="6"/>
      <c r="D66" s="6"/>
      <c r="E66" s="174" t="str" cm="1">
        <f t="array" ref="E66">IFERROR((INDEX($AT$25:$AT$29,MATCH(0,COUNTIF(E61:E65,$AT$25:$AT$29),0))),"")</f>
        <v/>
      </c>
      <c r="F66" s="6" t="str">
        <f t="shared" si="12"/>
        <v/>
      </c>
      <c r="G66" s="6"/>
      <c r="H66" s="6"/>
      <c r="I66" s="6"/>
      <c r="J66" s="177" t="str">
        <f>IFERROR((IF(E66&lt;&gt;"",VLOOKUP(E66,$AT$25:$BA$29,8,0),"")),"")</f>
        <v/>
      </c>
      <c r="K66" s="6"/>
      <c r="L66" s="6"/>
      <c r="P66" t="s">
        <v>542</v>
      </c>
      <c r="R66">
        <f>800+800+800+1100+1100</f>
        <v>4600</v>
      </c>
      <c r="S66">
        <f>S47+S47+S47+T47+T47</f>
        <v>7</v>
      </c>
      <c r="T66" t="str">
        <f>IF(S66&gt;=$U$47,IF(SUM($T$50:T65)&gt;0,"",1),"")</f>
        <v/>
      </c>
      <c r="U66" t="str">
        <f>IF(T66=1,3,"")</f>
        <v/>
      </c>
      <c r="V66" t="str">
        <f>IF(T66=1,2,"")</f>
        <v/>
      </c>
      <c r="X66">
        <v>4</v>
      </c>
      <c r="Y66" t="str">
        <f>IF(I26=Překlady!$C$78,CONCATENATE(D26,"_",$K$25),"")</f>
        <v/>
      </c>
      <c r="Z66" s="2" t="str">
        <f>IF(I26=Překlady!$C$78,VLOOKUP(Y66,Karty!$O$126:$P$134,2,0),"")</f>
        <v/>
      </c>
      <c r="AA66" t="str">
        <f>IF(I26=Překlady!$C$78,VLOOKUP(Y66,Karty!$O$126:$Q$134,3,0),"")</f>
        <v/>
      </c>
      <c r="AE66" t="str">
        <f>IF(I26=Překlady!$C$78,COUNTIF($Z$65:$Z$69,Z66),"")</f>
        <v/>
      </c>
      <c r="AI66" t="s">
        <v>538</v>
      </c>
      <c r="AK66">
        <f>800+800+800+800+800</f>
        <v>4000</v>
      </c>
      <c r="AL66" t="e">
        <f>5*AL51</f>
        <v>#VALUE!</v>
      </c>
      <c r="AM66" t="e">
        <f>IF(AL66&gt;=$U$47,IF(SUM($AM$54:AM65)&gt;0,"",1),"")</f>
        <v>#VALUE!</v>
      </c>
      <c r="AN66" t="e">
        <f>IF(AM66=1,5,"")</f>
        <v>#VALUE!</v>
      </c>
    </row>
    <row r="67" spans="1:42" x14ac:dyDescent="0.25">
      <c r="B67" s="42" t="str">
        <f>IF(B62&lt;&gt;"",Překlady!C114,"")</f>
        <v/>
      </c>
      <c r="C67" s="6"/>
      <c r="D67" s="6"/>
      <c r="E67" s="174" t="str" cm="1">
        <f t="array" ref="E67">IFERROR((INDEX($Z$65:$Z$69,MATCH(0,COUNTIF(E66,$Z$65:$Z$69),0))),"")</f>
        <v/>
      </c>
      <c r="F67" s="6" t="str">
        <f>IFERROR((VLOOKUP(E67,Z65:AA69,2,0)),"")</f>
        <v/>
      </c>
      <c r="G67" s="6"/>
      <c r="H67" s="6"/>
      <c r="I67" s="6"/>
      <c r="J67" s="177" t="str">
        <f>IFERROR((VLOOKUP(E67,$Z$65:$AE$69,6,0)),"")</f>
        <v/>
      </c>
      <c r="K67" s="6"/>
      <c r="L67" s="6"/>
      <c r="P67" t="s">
        <v>543</v>
      </c>
      <c r="R67">
        <f>800+800+1100+1100+1100</f>
        <v>4900</v>
      </c>
      <c r="S67">
        <f>S47+S47+T47+T47+T47</f>
        <v>8</v>
      </c>
      <c r="T67" t="str">
        <f>IF(S67&gt;=$U$47,IF(SUM($T$50:T66)&gt;0,"",1),"")</f>
        <v/>
      </c>
      <c r="U67" t="str">
        <f>IF(T67=1,2,"")</f>
        <v/>
      </c>
      <c r="V67" t="str">
        <f>IF(T67=1,3,"")</f>
        <v/>
      </c>
      <c r="X67">
        <v>3</v>
      </c>
      <c r="Y67" t="str">
        <f>IF(I27=Překlady!$C$78,CONCATENATE(D27,"_",$K$25),"")</f>
        <v/>
      </c>
      <c r="Z67" s="2" t="str">
        <f>IF(I27=Překlady!$C$78,VLOOKUP(Y67,Karty!$O$126:$P$134,2,0),"")</f>
        <v/>
      </c>
      <c r="AA67" t="str">
        <f>IF(I27=Překlady!$C$78,VLOOKUP(Y67,Karty!$O$126:$Q$134,3,0),"")</f>
        <v/>
      </c>
      <c r="AE67" t="str">
        <f>IF(I27=Překlady!$C$78,COUNTIF($Z$65:$Z$69,Z67),"")</f>
        <v/>
      </c>
      <c r="AI67" t="s">
        <v>539</v>
      </c>
      <c r="AK67">
        <f>3*1100+800</f>
        <v>4100</v>
      </c>
      <c r="AL67" t="e">
        <f>AM51+AM51+AM51+AL51</f>
        <v>#VALUE!</v>
      </c>
      <c r="AM67" t="e">
        <f>IF(AL67&gt;=$U$47,IF(SUM($AM$54:AM66)&gt;0,"",1),"")</f>
        <v>#VALUE!</v>
      </c>
      <c r="AN67" t="e">
        <f>IF(AM67=1,1,"")</f>
        <v>#VALUE!</v>
      </c>
      <c r="AO67" t="e">
        <f>IF(AM67=1,3,"")</f>
        <v>#VALUE!</v>
      </c>
    </row>
    <row r="68" spans="1:42" x14ac:dyDescent="0.25">
      <c r="B68" s="6"/>
      <c r="C68" s="6"/>
      <c r="D68" s="6"/>
      <c r="E68" s="174" t="str" cm="1">
        <f t="array" ref="E68">IFERROR((INDEX($Z$65:$Z$69,MATCH(0,COUNTIF(E66:E67,$Z$65:$Z$69),0))),"")</f>
        <v/>
      </c>
      <c r="F68" s="6" t="str">
        <f t="shared" ref="F68:F69" si="14">IFERROR((VLOOKUP(E68,Z66:AA70,2,0)),"")</f>
        <v/>
      </c>
      <c r="G68" s="6"/>
      <c r="H68" s="6"/>
      <c r="I68" s="6"/>
      <c r="J68" s="177" t="str">
        <f t="shared" ref="J68:J69" si="15">IFERROR((VLOOKUP(E68,$Z$65:$AE$69,6,0)),"")</f>
        <v/>
      </c>
      <c r="K68" s="6"/>
      <c r="L68" s="6"/>
      <c r="P68" t="s">
        <v>544</v>
      </c>
      <c r="R68">
        <f>800+1100+1100+1100+1100</f>
        <v>5200</v>
      </c>
      <c r="S68">
        <f>S47+4*T47</f>
        <v>9</v>
      </c>
      <c r="T68" t="str">
        <f>IF(S68&gt;=$U$47,IF(SUM($T$50:T67)&gt;0,"",1),"")</f>
        <v/>
      </c>
      <c r="U68" t="str">
        <f>IF(T68=1,1,"")</f>
        <v/>
      </c>
      <c r="V68" t="str">
        <f>IF(T68=1,4,"")</f>
        <v/>
      </c>
      <c r="X68">
        <v>2</v>
      </c>
      <c r="Y68" t="str">
        <f>IF(I28=Překlady!$C$78,CONCATENATE(D28,"_",$K$25),"")</f>
        <v/>
      </c>
      <c r="Z68" s="2" t="str">
        <f>IF(I28=Překlady!$C$78,VLOOKUP(Y68,Karty!$O$126:$P$134,2,0),"")</f>
        <v/>
      </c>
      <c r="AA68" t="str">
        <f>IF(I28=Překlady!$C$78,VLOOKUP(Y68,Karty!$O$126:$Q$134,3,0),"")</f>
        <v/>
      </c>
      <c r="AE68" t="str">
        <f>IF(I28=Překlady!$C$78,COUNTIF($Z$65:$Z$69,Z68),"")</f>
        <v/>
      </c>
      <c r="AI68" t="s">
        <v>540</v>
      </c>
      <c r="AK68">
        <f>800+800+800+800+1100</f>
        <v>4300</v>
      </c>
      <c r="AL68" t="e">
        <f>4*AL51+AM51</f>
        <v>#VALUE!</v>
      </c>
      <c r="AM68" t="e">
        <f>IF(AL68&gt;=$U$47,IF(SUM($AM$54:AM67)&gt;0,"",1),"")</f>
        <v>#VALUE!</v>
      </c>
      <c r="AN68" t="e">
        <f>IF(AM68=1,4,"")</f>
        <v>#VALUE!</v>
      </c>
      <c r="AO68" t="e">
        <f t="shared" ref="AO68" si="16">IF(AM68=1,1,"")</f>
        <v>#VALUE!</v>
      </c>
    </row>
    <row r="69" spans="1:42" x14ac:dyDescent="0.25">
      <c r="B69" s="6"/>
      <c r="C69" s="6"/>
      <c r="D69" s="6"/>
      <c r="E69" s="174" t="str" cm="1">
        <f t="array" ref="E69">IFERROR((INDEX($Z$65:$Z$69,MATCH(0,COUNTIF(E66:E68,$Z$65:$Z$69),0))),"")</f>
        <v/>
      </c>
      <c r="F69" s="6" t="str">
        <f t="shared" si="14"/>
        <v/>
      </c>
      <c r="G69" s="6"/>
      <c r="H69" s="6"/>
      <c r="I69" s="6"/>
      <c r="J69" s="177" t="str">
        <f t="shared" si="15"/>
        <v/>
      </c>
      <c r="K69" s="6"/>
      <c r="L69" s="6"/>
      <c r="P69" t="s">
        <v>545</v>
      </c>
      <c r="R69">
        <f>1100+1100+1100+1100+1100</f>
        <v>5500</v>
      </c>
      <c r="S69">
        <f>5*T47</f>
        <v>10</v>
      </c>
      <c r="T69" t="str">
        <f>IF(S69&gt;=$U$47,IF(SUM($T$50:T68)&gt;0,"",1),"")</f>
        <v/>
      </c>
      <c r="V69" t="str">
        <f>IF(T69=1,5,"")</f>
        <v/>
      </c>
      <c r="X69">
        <v>1</v>
      </c>
      <c r="Y69" t="str">
        <f>IF(I29=Překlady!$C$78,CONCATENATE(D29,"_",$K$25),"")</f>
        <v/>
      </c>
      <c r="Z69" s="2" t="str">
        <f>IF(I29=Překlady!$C$78,VLOOKUP(Y69,Karty!$O$126:$P$134,2,0),"")</f>
        <v/>
      </c>
      <c r="AA69" t="str">
        <f>IF(I29=Překlady!$C$78,VLOOKUP(Y69,Karty!$O$126:$Q$134,3,0),"")</f>
        <v/>
      </c>
      <c r="AE69" t="str">
        <f>IF(I29=Překlady!$C$78,COUNTIF($Z$65:$Z$69,Z69),"")</f>
        <v/>
      </c>
      <c r="AI69" t="s">
        <v>541</v>
      </c>
      <c r="AK69">
        <f>1100+1100+1100+1100</f>
        <v>4400</v>
      </c>
      <c r="AL69" t="e">
        <f>4*AM51</f>
        <v>#VALUE!</v>
      </c>
      <c r="AM69" t="e">
        <f>IF(AL69&gt;=$U$47,IF(SUM($AM$54:AM68)&gt;0,"",1),"")</f>
        <v>#VALUE!</v>
      </c>
      <c r="AO69" t="e">
        <f>IF(AM69=1,4,"")</f>
        <v>#VALUE!</v>
      </c>
    </row>
    <row r="70" spans="1:42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U70">
        <f>IF(COUNTIF(I25:I29,Překlady!C79)&gt;0,SUM(U50:U69),0)</f>
        <v>1</v>
      </c>
      <c r="V70">
        <f>IF(COUNTIF(I25:I29,Překlady!C79)&gt;0,SUM(V50:V69),0)</f>
        <v>1</v>
      </c>
      <c r="AI70" t="s">
        <v>542</v>
      </c>
      <c r="AK70">
        <f>800+800+800+1100+1100</f>
        <v>4600</v>
      </c>
      <c r="AL70" t="e">
        <f>AL51+AL51+AL51+AM51+AM51</f>
        <v>#VALUE!</v>
      </c>
      <c r="AM70" t="e">
        <f>IF(AL70&gt;=$U$47,IF(SUM($AM$54:AM69)&gt;0,"",1),"")</f>
        <v>#VALUE!</v>
      </c>
      <c r="AN70" t="e">
        <f>IF(AM70=1,3,"")</f>
        <v>#VALUE!</v>
      </c>
      <c r="AO70" t="e">
        <f>IF(AM70=1,2,"")</f>
        <v>#VALUE!</v>
      </c>
    </row>
    <row r="71" spans="1:42" x14ac:dyDescent="0.25">
      <c r="B71" s="42" t="str">
        <f>IF(B62&lt;&gt;"",Překlady!C115,"")</f>
        <v/>
      </c>
      <c r="C71" s="6"/>
      <c r="D71" s="6"/>
      <c r="E71" s="174" t="str">
        <f>IFERROR((IF(B62&lt;&gt;"",VLOOKUP(K25,Karty!O144:P146,2,0),"")),"")</f>
        <v/>
      </c>
      <c r="F71" s="6" t="str">
        <f>IFERROR((IF(B62&lt;&gt;"",VLOOKUP(K25,Karty!O144:Q146,3,0),"")),"")</f>
        <v/>
      </c>
      <c r="G71" s="6"/>
      <c r="H71" s="6"/>
      <c r="I71" s="6"/>
      <c r="J71" s="174" t="str">
        <f>IF(B62&lt;&gt;"",BA51,"")</f>
        <v/>
      </c>
      <c r="K71" s="6"/>
      <c r="L71" s="6"/>
      <c r="M71" s="8"/>
      <c r="N71" s="9"/>
      <c r="O71" s="9"/>
      <c r="AI71" t="s">
        <v>543</v>
      </c>
      <c r="AK71">
        <f>800+800+1100+1100+1100</f>
        <v>4900</v>
      </c>
      <c r="AL71" t="e">
        <f>AL51+AL51+AM51+AM51+AM51</f>
        <v>#VALUE!</v>
      </c>
      <c r="AM71" t="e">
        <f>IF(AL71&gt;=$U$47,IF(SUM($AM$54:AM70)&gt;0,"",1),"")</f>
        <v>#VALUE!</v>
      </c>
      <c r="AN71" t="e">
        <f>IF(AM71=1,2,"")</f>
        <v>#VALUE!</v>
      </c>
      <c r="AO71" t="e">
        <f>IF(AM71=1,3,"")</f>
        <v>#VALUE!</v>
      </c>
    </row>
    <row r="72" spans="1:42" ht="18.75" x14ac:dyDescent="0.3">
      <c r="B72" s="55"/>
      <c r="C72" s="6"/>
      <c r="D72" s="6"/>
      <c r="E72" s="174"/>
      <c r="F72" s="6"/>
      <c r="G72" s="6"/>
      <c r="H72" s="6"/>
      <c r="I72" s="6"/>
      <c r="J72" s="174"/>
      <c r="K72" s="6"/>
      <c r="L72" s="6"/>
      <c r="M72" s="8"/>
      <c r="N72" s="9"/>
      <c r="O72" s="9"/>
      <c r="AI72" t="s">
        <v>544</v>
      </c>
      <c r="AK72">
        <f>800+1100+1100+1100+1100</f>
        <v>5200</v>
      </c>
      <c r="AL72" t="e">
        <f>AL51+4*AM51</f>
        <v>#VALUE!</v>
      </c>
      <c r="AM72" t="e">
        <f>IF(AL72&gt;=$U$47,IF(SUM($AM$54:AM71)&gt;0,"",1),"")</f>
        <v>#VALUE!</v>
      </c>
      <c r="AN72" t="e">
        <f>IF(AM72=1,1,"")</f>
        <v>#VALUE!</v>
      </c>
      <c r="AO72" t="e">
        <f>IF(AM72=1,4,"")</f>
        <v>#VALUE!</v>
      </c>
    </row>
    <row r="73" spans="1:42" ht="18.75" x14ac:dyDescent="0.3">
      <c r="B73" s="55"/>
      <c r="C73" s="6"/>
      <c r="D73" s="6"/>
      <c r="E73" s="174"/>
      <c r="F73" s="6"/>
      <c r="G73" s="6"/>
      <c r="H73" s="6"/>
      <c r="I73" s="6"/>
      <c r="J73" s="174"/>
      <c r="K73" s="6"/>
      <c r="L73" s="6"/>
      <c r="M73" s="8"/>
      <c r="N73" s="9"/>
      <c r="O73" s="9"/>
    </row>
    <row r="74" spans="1:42" ht="18.75" x14ac:dyDescent="0.3">
      <c r="B74" s="55"/>
      <c r="C74" s="6"/>
      <c r="D74" s="6"/>
      <c r="E74" s="174"/>
      <c r="F74" s="6"/>
      <c r="G74" s="6"/>
      <c r="H74" s="6"/>
      <c r="I74" s="6"/>
      <c r="J74" s="174" t="s">
        <v>546</v>
      </c>
      <c r="K74" s="6"/>
      <c r="L74" s="6"/>
      <c r="M74" s="8"/>
      <c r="N74" s="9"/>
      <c r="O74" s="9"/>
    </row>
    <row r="75" spans="1:42" x14ac:dyDescent="0.25">
      <c r="B75" s="6"/>
      <c r="C75" s="6"/>
      <c r="D75" s="6"/>
      <c r="E75" s="6"/>
      <c r="F75" s="6"/>
      <c r="G75" s="6"/>
      <c r="H75" s="6"/>
      <c r="I75" s="6"/>
      <c r="J75" s="174"/>
      <c r="K75" s="235"/>
      <c r="L75" s="6"/>
      <c r="M75" s="8"/>
      <c r="N75" s="2"/>
      <c r="AI75" t="s">
        <v>545</v>
      </c>
      <c r="AK75">
        <f>1100+1100+1100+1100+1100</f>
        <v>5500</v>
      </c>
      <c r="AL75" t="e">
        <f>5*AM51</f>
        <v>#VALUE!</v>
      </c>
      <c r="AM75" t="e">
        <f>IF(AL75&gt;=$U$47,IF(SUM($AM$54:AM72)&gt;0,"",1),"")</f>
        <v>#VALUE!</v>
      </c>
      <c r="AO75" t="e">
        <f>IF(AM75=1,5,"")</f>
        <v>#VALUE!</v>
      </c>
    </row>
    <row r="76" spans="1:42" x14ac:dyDescent="0.25">
      <c r="H76" s="6"/>
      <c r="M76" s="8"/>
      <c r="N76" s="2"/>
      <c r="AN76">
        <f>IFERROR((IF(COUNTIF(I25:I29,Překlady!C79)&gt;0,(SUM(AN54:AN75)),0)),0)</f>
        <v>0</v>
      </c>
      <c r="AO76">
        <f>IFERROR((IF(COUNTIF(I25:I29,Překlady!C79)&gt;0,(SUM(AO54:AO75)),0)),0)</f>
        <v>0</v>
      </c>
      <c r="AP76">
        <f>IF(COUNTIF(I25:I29,Překlady!C79)&gt;0,AS52,0)</f>
        <v>0</v>
      </c>
    </row>
    <row r="77" spans="1:42" ht="18.75" x14ac:dyDescent="0.3">
      <c r="A77" s="6"/>
      <c r="B77" s="55" t="str">
        <f>Překlady!C36</f>
        <v>A korpusz oldalának fúrása</v>
      </c>
      <c r="C77" s="6"/>
      <c r="D77" s="6"/>
      <c r="E77" s="6"/>
      <c r="F77" s="6"/>
      <c r="G77" s="6"/>
      <c r="H77" s="38"/>
      <c r="I77" s="55" t="str">
        <f>Překlady!C59</f>
        <v>Alsó vágás:</v>
      </c>
      <c r="J77" s="6"/>
      <c r="K77" s="6"/>
      <c r="L77" s="6"/>
      <c r="M77" s="19"/>
      <c r="N77" s="2"/>
      <c r="AN77" t="str">
        <f>IF(AN76&gt;0,CONCATENATE(K25,"_",AN53),"")</f>
        <v/>
      </c>
      <c r="AO77" t="str">
        <f>IF(AO76&gt;0,CONCATENATE(K25,"_",AO53),"")</f>
        <v/>
      </c>
      <c r="AP77" t="str">
        <f>IF(AP76&gt;0,Překlady!C32&amp;"_1100","")</f>
        <v/>
      </c>
    </row>
    <row r="78" spans="1:42" ht="18.75" customHeight="1" x14ac:dyDescent="0.25">
      <c r="A78" s="189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19"/>
      <c r="N78" s="2"/>
    </row>
    <row r="79" spans="1:42" ht="21.75" customHeight="1" x14ac:dyDescent="0.3">
      <c r="A79" s="189"/>
      <c r="B79" s="41" t="str">
        <f>IF(G20=5,#REF!-37-5+$G$16+5+37+B82,"")</f>
        <v/>
      </c>
      <c r="C79" s="6"/>
      <c r="D79" s="6"/>
      <c r="E79" s="6"/>
      <c r="F79" s="6"/>
      <c r="G79" s="6"/>
      <c r="H79" s="6"/>
      <c r="I79" s="38" t="str">
        <f>IF(G14&gt;0,(G10-(2*G13)-21&amp;" x "&amp;G14-20&amp;" mm"),"")</f>
        <v>543 x 480 mm</v>
      </c>
      <c r="J79" s="6"/>
      <c r="K79" s="6"/>
      <c r="L79" s="6"/>
      <c r="M79" s="19"/>
      <c r="N79" s="2"/>
      <c r="AO79" t="str">
        <f>IFERROR((IF(J59&gt;0,VLOOKUP(AO77,AN41:AP45,3,0),IF(AP76&gt;0,AP45,""))),"")</f>
        <v/>
      </c>
    </row>
    <row r="80" spans="1:42" x14ac:dyDescent="0.25">
      <c r="A80" s="189"/>
      <c r="B80" s="150"/>
      <c r="C80" s="6"/>
      <c r="D80" s="6"/>
      <c r="E80" s="6"/>
      <c r="F80" s="6"/>
      <c r="G80" s="6"/>
      <c r="H80" s="6"/>
      <c r="I80" s="6"/>
      <c r="J80" s="6"/>
      <c r="K80" s="6"/>
      <c r="L80" s="6"/>
      <c r="M80" s="19"/>
      <c r="AO80" t="str">
        <f>IFERROR((IF(J59&gt;0,IF(AP76&gt;0,AP45,VLOOKUP(AO77,AN41:AP45,3,0)))),"")</f>
        <v/>
      </c>
    </row>
    <row r="81" spans="1:19" ht="18.75" x14ac:dyDescent="0.3">
      <c r="A81" s="189"/>
      <c r="B81" s="150"/>
      <c r="C81" s="6"/>
      <c r="D81" s="6"/>
      <c r="E81" s="6"/>
      <c r="F81" s="6"/>
      <c r="G81" s="6"/>
      <c r="H81" s="6"/>
      <c r="I81" s="38"/>
      <c r="J81" s="6"/>
      <c r="K81" s="6"/>
      <c r="L81" s="6"/>
      <c r="M81" s="19"/>
    </row>
    <row r="82" spans="1:19" ht="18.75" x14ac:dyDescent="0.3">
      <c r="A82" s="189"/>
      <c r="B82" s="267" t="str">
        <f>IF(G15=5,G29+G28+G27+G26+37,"")</f>
        <v/>
      </c>
      <c r="C82" s="6"/>
      <c r="D82" s="6"/>
      <c r="E82" s="6"/>
      <c r="F82" s="6"/>
      <c r="G82" s="6"/>
      <c r="H82" s="6"/>
      <c r="I82" s="55" t="str">
        <f>Překlady!C58</f>
        <v>Hátsó vágás</v>
      </c>
      <c r="J82" s="38"/>
      <c r="K82" s="6"/>
      <c r="L82" s="6"/>
      <c r="M82" s="6"/>
      <c r="Q82" t="s">
        <v>476</v>
      </c>
    </row>
    <row r="83" spans="1:19" ht="18.75" x14ac:dyDescent="0.3">
      <c r="A83" s="189"/>
      <c r="B83" s="267"/>
      <c r="C83" s="6"/>
      <c r="D83" s="6"/>
      <c r="E83" s="6"/>
      <c r="F83" s="6"/>
      <c r="G83" s="6"/>
      <c r="H83" s="6"/>
      <c r="I83" s="38" t="str">
        <f>Překlady!C60</f>
        <v>( a helyes számításhoz a fenti táblázatban található oldalfalmagasságot kell kiválasztani)</v>
      </c>
      <c r="J83" s="38"/>
      <c r="K83" s="6"/>
      <c r="L83" s="6"/>
      <c r="M83" s="6"/>
      <c r="P83" t="s">
        <v>510</v>
      </c>
      <c r="Q83">
        <v>59</v>
      </c>
    </row>
    <row r="84" spans="1:19" ht="18.75" x14ac:dyDescent="0.3">
      <c r="A84" s="189"/>
      <c r="B84" s="142"/>
      <c r="C84" s="6"/>
      <c r="D84" s="6"/>
      <c r="E84" s="6"/>
      <c r="F84" s="6"/>
      <c r="G84" s="6"/>
      <c r="H84" s="6"/>
      <c r="I84" s="38"/>
      <c r="J84" s="38"/>
      <c r="K84" s="6"/>
      <c r="L84" s="6"/>
      <c r="M84" s="6"/>
      <c r="P84" t="s">
        <v>511</v>
      </c>
      <c r="Q84">
        <v>91</v>
      </c>
    </row>
    <row r="85" spans="1:19" ht="15.75" customHeight="1" x14ac:dyDescent="0.3">
      <c r="A85" s="189"/>
      <c r="B85" s="267">
        <f>IF(G15&gt;3,G29+G28+G27+37,"")</f>
        <v>633</v>
      </c>
      <c r="C85" s="6"/>
      <c r="D85" s="6"/>
      <c r="E85" s="6"/>
      <c r="F85" s="6"/>
      <c r="G85" s="6"/>
      <c r="H85" s="6"/>
      <c r="I85" s="39" t="str">
        <f>IF(G15=5,Překlady!C26, " ")</f>
        <v xml:space="preserve"> </v>
      </c>
      <c r="J85" s="38" t="str">
        <f>IF($G$15=5,$G$10-(2*$G$13)-42&amp;" x "&amp;VLOOKUP(D25,$P$83:$Q$85,2,0)&amp;" mm","")</f>
        <v/>
      </c>
      <c r="K85" s="6"/>
      <c r="L85" s="6"/>
      <c r="M85" s="6"/>
      <c r="P85" t="s">
        <v>512</v>
      </c>
      <c r="Q85">
        <v>155</v>
      </c>
    </row>
    <row r="86" spans="1:19" ht="18.75" x14ac:dyDescent="0.3">
      <c r="A86" s="189"/>
      <c r="B86" s="267"/>
      <c r="C86" s="127"/>
      <c r="D86" s="6"/>
      <c r="E86" s="6"/>
      <c r="F86" s="6"/>
      <c r="G86" s="143"/>
      <c r="H86" s="6"/>
      <c r="I86" s="38" t="str">
        <f>IF($G$15&gt;3,Překlady!C25, " ")</f>
        <v>4. fiók</v>
      </c>
      <c r="J86" s="38" t="str">
        <f>IF($G$15&gt;3,$G$10-(2*$G$13)-42&amp;" x "&amp;VLOOKUP(D26,$P$83:$Q$85,2,0)&amp;" mm","")</f>
        <v>522 x 91 mm</v>
      </c>
      <c r="K86" s="6"/>
      <c r="L86" s="6"/>
      <c r="M86" s="6"/>
    </row>
    <row r="87" spans="1:19" ht="18.75" x14ac:dyDescent="0.3">
      <c r="A87" s="189"/>
      <c r="B87" s="151"/>
      <c r="C87" s="128"/>
      <c r="D87" s="146"/>
      <c r="E87" s="146"/>
      <c r="F87" s="123"/>
      <c r="G87" s="143"/>
      <c r="H87" s="6"/>
      <c r="I87" s="40" t="str">
        <f>IF($G$15&gt;2,Překlady!C24, " ")</f>
        <v>3. fiók</v>
      </c>
      <c r="J87" s="38" t="str">
        <f>IF($G$15&gt;2,$G$10-(2*$G$13)-42&amp;" x "&amp;VLOOKUP(D27,$P$83:$Q$85,2,0)&amp;" mm","")</f>
        <v>522 x 91 mm</v>
      </c>
      <c r="K87" s="6"/>
      <c r="L87" s="6"/>
      <c r="M87" s="6"/>
    </row>
    <row r="88" spans="1:19" ht="18" customHeight="1" x14ac:dyDescent="0.3">
      <c r="A88" s="189"/>
      <c r="B88" s="277">
        <f>IF(G15&gt;2,G29+G28+37,"")</f>
        <v>483</v>
      </c>
      <c r="C88" s="127"/>
      <c r="D88" s="147"/>
      <c r="E88" s="147"/>
      <c r="F88" s="6"/>
      <c r="G88" s="143"/>
      <c r="H88" s="6"/>
      <c r="I88" s="38" t="str">
        <f>IF($G$15&gt;1,Překlady!C23, " ")</f>
        <v>2. fiók</v>
      </c>
      <c r="J88" s="38" t="str">
        <f>IF($G$15&gt;1,$G$10-(2*$G$13)-42&amp;" x "&amp;VLOOKUP(D28,$P$83:$Q$85,2,0)&amp;" mm","")</f>
        <v>522 x 91 mm</v>
      </c>
      <c r="K88" s="6"/>
      <c r="L88" s="6"/>
      <c r="M88" s="6"/>
    </row>
    <row r="89" spans="1:19" ht="18.75" x14ac:dyDescent="0.3">
      <c r="A89" s="189"/>
      <c r="B89" s="277"/>
      <c r="C89" s="127"/>
      <c r="D89" s="147"/>
      <c r="E89" s="147"/>
      <c r="F89" s="6"/>
      <c r="G89" s="143"/>
      <c r="H89" s="6"/>
      <c r="I89" s="38" t="str">
        <f>IF($G$15&gt;0,Překlady!C22, " ")</f>
        <v>1. fiók</v>
      </c>
      <c r="J89" s="38" t="str">
        <f>IF($G$15&gt;0,$G$10-(2*$G$13)-42&amp;" x "&amp;VLOOKUP(D29,$P$83:$Q$85,2,0)&amp;" mm","")</f>
        <v>522 x 155 mm</v>
      </c>
      <c r="K89" s="6"/>
      <c r="L89" s="6"/>
      <c r="M89" s="6"/>
    </row>
    <row r="90" spans="1:19" x14ac:dyDescent="0.25">
      <c r="A90" s="189"/>
      <c r="B90" s="151"/>
      <c r="C90" s="128"/>
      <c r="D90" s="146"/>
      <c r="E90" s="123"/>
      <c r="F90" s="166"/>
      <c r="G90" s="143"/>
      <c r="H90" s="6"/>
      <c r="I90" s="6"/>
      <c r="J90" s="6"/>
      <c r="K90" s="6"/>
      <c r="L90" s="6"/>
      <c r="M90" s="6"/>
    </row>
    <row r="91" spans="1:19" ht="8.25" customHeight="1" x14ac:dyDescent="0.3">
      <c r="A91" s="189"/>
      <c r="B91" s="278">
        <f>IF(G28&gt;0,37+G29,"")</f>
        <v>337</v>
      </c>
      <c r="C91" s="127"/>
      <c r="D91" s="147"/>
      <c r="E91" s="6"/>
      <c r="F91" s="167"/>
      <c r="G91" s="143"/>
      <c r="H91" s="38"/>
      <c r="I91" s="38"/>
      <c r="J91" s="6"/>
      <c r="K91" s="6"/>
      <c r="L91" s="6"/>
      <c r="M91" s="6"/>
    </row>
    <row r="92" spans="1:19" ht="20.25" customHeight="1" x14ac:dyDescent="0.25">
      <c r="A92" s="189"/>
      <c r="B92" s="277"/>
      <c r="C92" s="127"/>
      <c r="D92" s="147"/>
      <c r="E92" s="6"/>
      <c r="F92" s="167"/>
      <c r="G92" s="143"/>
      <c r="H92" s="6"/>
      <c r="I92" s="6"/>
      <c r="J92" s="6"/>
    </row>
    <row r="93" spans="1:19" ht="24" customHeight="1" x14ac:dyDescent="0.25">
      <c r="A93" s="189"/>
      <c r="B93" s="151"/>
      <c r="C93" s="128"/>
      <c r="D93" s="146"/>
      <c r="E93" s="123"/>
      <c r="F93" s="166"/>
      <c r="G93" s="143"/>
      <c r="H93" s="6"/>
      <c r="I93" s="6"/>
      <c r="J93" s="6"/>
      <c r="S93" s="2"/>
    </row>
    <row r="94" spans="1:19" ht="18.75" customHeight="1" x14ac:dyDescent="0.25">
      <c r="A94" s="6"/>
      <c r="B94" s="142">
        <f>IF(G29&gt;0,37,"")</f>
        <v>37</v>
      </c>
      <c r="C94" s="129"/>
      <c r="D94" s="148"/>
      <c r="E94" s="190"/>
      <c r="F94" s="168"/>
      <c r="G94" s="144"/>
      <c r="H94" s="6"/>
      <c r="I94" s="6"/>
      <c r="J94" s="6"/>
    </row>
    <row r="95" spans="1:19" x14ac:dyDescent="0.25">
      <c r="A95" s="6"/>
      <c r="B95" s="56"/>
      <c r="C95" s="122">
        <v>37</v>
      </c>
      <c r="D95" s="147"/>
      <c r="E95" s="6"/>
      <c r="F95" s="167"/>
      <c r="G95" s="6"/>
      <c r="H95" s="6"/>
      <c r="I95" s="6"/>
      <c r="J95" s="6"/>
    </row>
    <row r="96" spans="1:19" x14ac:dyDescent="0.25">
      <c r="A96" s="6"/>
      <c r="B96" s="6"/>
      <c r="C96" s="6"/>
      <c r="D96" s="149">
        <v>128</v>
      </c>
      <c r="E96" s="6"/>
      <c r="F96" s="167"/>
      <c r="G96" s="6"/>
      <c r="H96" s="6"/>
      <c r="I96" s="6"/>
      <c r="J96" s="6"/>
    </row>
    <row r="97" spans="1:17" x14ac:dyDescent="0.25">
      <c r="A97" s="6"/>
      <c r="B97" s="6"/>
      <c r="C97" s="6"/>
      <c r="D97" s="191"/>
      <c r="E97" s="122">
        <v>224</v>
      </c>
      <c r="F97" s="191"/>
      <c r="G97" s="6"/>
      <c r="H97" s="6"/>
      <c r="I97" s="6"/>
      <c r="J97" s="6"/>
    </row>
    <row r="98" spans="1:17" ht="18.75" customHeight="1" x14ac:dyDescent="0.25">
      <c r="C98" s="6"/>
      <c r="D98" s="6"/>
      <c r="E98" s="6"/>
      <c r="F98" s="6"/>
      <c r="G98" s="6"/>
    </row>
    <row r="99" spans="1:17" x14ac:dyDescent="0.25"/>
    <row r="100" spans="1:17" x14ac:dyDescent="0.25"/>
    <row r="101" spans="1:17" hidden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idden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21" hidden="1" x14ac:dyDescent="0.35">
      <c r="A103" s="5"/>
      <c r="B103" s="37"/>
      <c r="C103" s="63"/>
      <c r="D103" s="5"/>
      <c r="E103" s="5"/>
      <c r="F103" s="5"/>
      <c r="G103" s="5"/>
      <c r="H103" s="5"/>
      <c r="I103" s="5"/>
      <c r="J103" s="37"/>
      <c r="K103" s="63" t="str">
        <f>IFERROR((IF(G29&gt;0,VLOOKUP(G20,Překlady!B62:C65,2,0),"")),"")</f>
        <v/>
      </c>
      <c r="L103" s="5"/>
      <c r="M103" s="5"/>
      <c r="N103" s="5"/>
      <c r="O103" s="5"/>
      <c r="P103" s="5"/>
      <c r="Q103" s="5"/>
    </row>
    <row r="104" spans="1:17" hidden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20.25" hidden="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20.25" hidden="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20.25" hidden="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49"/>
      <c r="K107" s="5"/>
      <c r="L107" s="5"/>
      <c r="M107" s="5"/>
      <c r="N107" s="5"/>
      <c r="O107" s="5"/>
      <c r="P107" s="5"/>
      <c r="Q107" s="5"/>
    </row>
    <row r="108" spans="1:17" ht="20.25" hidden="1" customHeight="1" x14ac:dyDescent="0.25">
      <c r="A108" s="5"/>
      <c r="B108" s="43"/>
      <c r="C108" s="5"/>
      <c r="D108" s="5"/>
      <c r="E108" s="5"/>
      <c r="F108" s="5"/>
      <c r="G108" s="5"/>
      <c r="H108" s="5"/>
      <c r="I108" s="5"/>
      <c r="J108" s="49"/>
      <c r="K108" s="5"/>
      <c r="L108" s="5"/>
      <c r="M108" s="5"/>
      <c r="N108" s="5"/>
      <c r="O108" s="5"/>
      <c r="P108" s="5"/>
      <c r="Q108" s="5"/>
    </row>
    <row r="109" spans="1:17" ht="20.25" hidden="1" customHeight="1" x14ac:dyDescent="0.25">
      <c r="A109" s="5"/>
      <c r="B109" s="43"/>
      <c r="C109" s="5"/>
      <c r="D109" s="5"/>
      <c r="E109" s="5"/>
      <c r="F109" s="5"/>
      <c r="G109" s="5"/>
      <c r="H109" s="5"/>
      <c r="I109" s="5"/>
      <c r="J109" s="49"/>
      <c r="K109" s="5"/>
      <c r="L109" s="5"/>
      <c r="M109" s="5"/>
      <c r="N109" s="5"/>
      <c r="O109" s="5"/>
      <c r="P109" s="5"/>
      <c r="Q109" s="5"/>
    </row>
    <row r="110" spans="1:17" ht="20.25" hidden="1" customHeight="1" x14ac:dyDescent="0.25">
      <c r="A110" s="5"/>
      <c r="B110" s="44"/>
      <c r="C110" s="5"/>
      <c r="D110" s="5"/>
      <c r="E110" s="5"/>
      <c r="F110" s="5"/>
      <c r="G110" s="5"/>
      <c r="H110" s="5"/>
      <c r="I110" s="5"/>
      <c r="J110" s="44"/>
      <c r="K110" s="5"/>
      <c r="L110" s="5"/>
      <c r="M110" s="5"/>
      <c r="N110" s="5"/>
      <c r="O110" s="5"/>
      <c r="P110" s="5"/>
      <c r="Q110" s="5"/>
    </row>
    <row r="111" spans="1:17" ht="20.25" hidden="1" customHeight="1" x14ac:dyDescent="0.25">
      <c r="A111" s="5"/>
      <c r="B111" s="43"/>
      <c r="C111" s="5"/>
      <c r="D111" s="5"/>
      <c r="E111" s="5"/>
      <c r="F111" s="5"/>
      <c r="G111" s="5"/>
      <c r="H111" s="5"/>
      <c r="I111" s="5"/>
      <c r="J111" s="51"/>
      <c r="K111" s="5"/>
      <c r="L111" s="5"/>
      <c r="M111" s="5"/>
      <c r="N111" s="5"/>
      <c r="O111" s="5"/>
      <c r="P111" s="5"/>
      <c r="Q111" s="5"/>
    </row>
    <row r="112" spans="1:17" ht="20.25" hidden="1" customHeight="1" x14ac:dyDescent="0.25">
      <c r="A112" s="5"/>
      <c r="B112" s="45"/>
      <c r="C112" s="5"/>
      <c r="D112" s="5"/>
      <c r="E112" s="5"/>
      <c r="F112" s="5"/>
      <c r="G112" s="5"/>
      <c r="H112" s="5"/>
      <c r="I112" s="5"/>
      <c r="J112" s="49"/>
      <c r="K112" s="5"/>
      <c r="L112" s="5"/>
      <c r="M112" s="5"/>
      <c r="N112" s="5"/>
      <c r="O112" s="5"/>
      <c r="P112" s="5"/>
      <c r="Q112" s="5"/>
    </row>
    <row r="113" spans="1:19" ht="20.25" hidden="1" customHeight="1" x14ac:dyDescent="0.25">
      <c r="A113" s="5"/>
      <c r="B113" s="46"/>
      <c r="C113" s="5"/>
      <c r="D113" s="5"/>
      <c r="E113" s="5"/>
      <c r="F113" s="5"/>
      <c r="G113" s="5"/>
      <c r="H113" s="5"/>
      <c r="I113" s="5"/>
      <c r="J113" s="45"/>
      <c r="K113" s="5"/>
      <c r="L113" s="5"/>
      <c r="M113" s="5"/>
      <c r="N113" s="5"/>
      <c r="O113" s="5"/>
      <c r="P113" s="5"/>
      <c r="Q113" s="5"/>
    </row>
    <row r="114" spans="1:19" ht="20.25" hidden="1" customHeight="1" x14ac:dyDescent="0.25">
      <c r="A114" s="5"/>
      <c r="B114" s="47"/>
      <c r="C114" s="5"/>
      <c r="D114" s="5"/>
      <c r="E114" s="5"/>
      <c r="F114" s="5"/>
      <c r="G114" s="5"/>
      <c r="H114" s="5"/>
      <c r="I114" s="5"/>
      <c r="J114" s="49"/>
      <c r="K114" s="5"/>
      <c r="L114" s="5"/>
      <c r="M114" s="5"/>
      <c r="N114" s="5"/>
      <c r="O114" s="5"/>
      <c r="P114" s="5"/>
      <c r="Q114" s="5"/>
    </row>
    <row r="115" spans="1:19" ht="20.25" hidden="1" customHeight="1" x14ac:dyDescent="0.25">
      <c r="A115" s="5"/>
      <c r="B115" s="48"/>
      <c r="C115" s="5"/>
      <c r="D115" s="5"/>
      <c r="E115" s="5"/>
      <c r="F115" s="5"/>
      <c r="G115" s="5"/>
      <c r="H115" s="5"/>
      <c r="I115" s="52"/>
      <c r="J115" s="46"/>
      <c r="K115" s="5"/>
      <c r="L115" s="5"/>
      <c r="M115" s="5"/>
      <c r="N115" s="5"/>
      <c r="O115" s="5"/>
      <c r="P115" s="5"/>
      <c r="Q115" s="358" t="str">
        <f>IF(G29&gt;0,IF(G20=5,#REF!-#REF!,IF(G20=4,#REF!-#REF!,IF(G20=3,#REF!-#REF!,IF(G20=2,#REF!-#REF!,"")))),"")</f>
        <v/>
      </c>
    </row>
    <row r="116" spans="1:19" ht="20.25" hidden="1" customHeight="1" x14ac:dyDescent="0.25">
      <c r="A116" s="5"/>
      <c r="B116" s="44"/>
      <c r="C116" s="5"/>
      <c r="D116" s="5"/>
      <c r="E116" s="5"/>
      <c r="F116" s="5"/>
      <c r="G116" s="5"/>
      <c r="H116" s="5"/>
      <c r="I116" s="47"/>
      <c r="J116" s="49"/>
      <c r="K116" s="5"/>
      <c r="L116" s="5"/>
      <c r="M116" s="5"/>
      <c r="N116" s="5"/>
      <c r="O116" s="5"/>
      <c r="P116" s="5"/>
      <c r="Q116" s="358"/>
    </row>
    <row r="117" spans="1:19" ht="20.25" hidden="1" customHeight="1" x14ac:dyDescent="0.25">
      <c r="A117" s="5"/>
      <c r="B117" s="43"/>
      <c r="C117" s="5"/>
      <c r="D117" s="5"/>
      <c r="E117" s="5"/>
      <c r="F117" s="5"/>
      <c r="G117" s="5"/>
      <c r="H117" s="5"/>
      <c r="I117" s="47"/>
      <c r="J117" s="46"/>
      <c r="K117" s="5"/>
      <c r="L117" s="5"/>
      <c r="M117" s="5"/>
      <c r="N117" s="5"/>
      <c r="O117" s="5"/>
      <c r="P117" s="5"/>
      <c r="Q117" s="5"/>
    </row>
    <row r="118" spans="1:19" ht="20.25" hidden="1" customHeight="1" x14ac:dyDescent="0.25">
      <c r="A118" s="5"/>
      <c r="B118" s="43"/>
      <c r="C118" s="5"/>
      <c r="D118" s="5"/>
      <c r="E118" s="5"/>
      <c r="F118" s="5"/>
      <c r="G118" s="5"/>
      <c r="H118" s="5"/>
      <c r="I118" s="5"/>
      <c r="J118" s="46"/>
      <c r="K118" s="5"/>
      <c r="L118" s="5"/>
      <c r="M118" s="5"/>
      <c r="N118" s="5"/>
      <c r="O118" s="5"/>
      <c r="P118" s="5"/>
      <c r="Q118" s="5"/>
      <c r="S118" s="2"/>
    </row>
    <row r="119" spans="1:19" ht="20.25" hidden="1" customHeight="1" x14ac:dyDescent="0.25">
      <c r="A119" s="5"/>
      <c r="B119" s="47"/>
      <c r="C119" s="5"/>
      <c r="D119" s="5"/>
      <c r="E119" s="5"/>
      <c r="F119" s="5"/>
      <c r="G119" s="5"/>
      <c r="H119" s="5"/>
      <c r="I119" s="5"/>
      <c r="J119" s="43"/>
      <c r="K119" s="5"/>
      <c r="L119" s="5"/>
      <c r="M119" s="5"/>
      <c r="N119" s="5"/>
      <c r="O119" s="5"/>
      <c r="P119" s="5"/>
      <c r="Q119" s="5"/>
      <c r="S119" s="2"/>
    </row>
    <row r="120" spans="1:19" ht="20.25" hidden="1" customHeight="1" x14ac:dyDescent="0.25">
      <c r="A120" s="5"/>
      <c r="B120" s="47"/>
      <c r="C120" s="5"/>
      <c r="D120" s="5"/>
      <c r="E120" s="5"/>
      <c r="F120" s="5"/>
      <c r="G120" s="5"/>
      <c r="H120" s="5"/>
      <c r="I120" s="5"/>
      <c r="J120" s="43"/>
      <c r="K120" s="5"/>
      <c r="L120" s="5"/>
      <c r="M120" s="5"/>
      <c r="N120" s="5"/>
      <c r="O120" s="5"/>
      <c r="P120" s="5"/>
      <c r="Q120" s="5"/>
      <c r="S120" s="2"/>
    </row>
    <row r="121" spans="1:19" ht="20.25" hidden="1" customHeight="1" x14ac:dyDescent="0.25">
      <c r="A121" s="5"/>
      <c r="B121" s="46"/>
      <c r="C121" s="5"/>
      <c r="D121" s="5"/>
      <c r="E121" s="5"/>
      <c r="F121" s="5"/>
      <c r="G121" s="5"/>
      <c r="H121" s="5"/>
      <c r="I121" s="5"/>
      <c r="J121" s="49"/>
      <c r="K121" s="5"/>
      <c r="L121" s="5"/>
      <c r="M121" s="5"/>
      <c r="N121" s="5"/>
      <c r="O121" s="5"/>
      <c r="P121" s="5"/>
      <c r="Q121" s="5"/>
      <c r="S121" s="2"/>
    </row>
    <row r="122" spans="1:19" ht="20.25" hidden="1" customHeight="1" x14ac:dyDescent="0.25">
      <c r="A122" s="5"/>
      <c r="B122" s="46"/>
      <c r="C122" s="5"/>
      <c r="D122" s="5"/>
      <c r="E122" s="5"/>
      <c r="F122" s="5"/>
      <c r="G122" s="5"/>
      <c r="H122" s="5"/>
      <c r="I122" s="5"/>
      <c r="J122" s="49"/>
      <c r="K122" s="5"/>
      <c r="L122" s="5"/>
      <c r="M122" s="5"/>
      <c r="N122" s="5"/>
      <c r="O122" s="5"/>
      <c r="P122" s="5"/>
      <c r="Q122" s="5"/>
    </row>
    <row r="123" spans="1:19" ht="20.25" hidden="1" customHeight="1" x14ac:dyDescent="0.25">
      <c r="A123" s="5"/>
      <c r="B123" s="49"/>
      <c r="C123" s="5"/>
      <c r="D123" s="5"/>
      <c r="E123" s="5"/>
      <c r="F123" s="5"/>
      <c r="G123" s="5"/>
      <c r="H123" s="5"/>
      <c r="I123" s="5"/>
      <c r="J123" s="47"/>
      <c r="K123" s="5"/>
      <c r="L123" s="5"/>
      <c r="M123" s="5"/>
      <c r="N123" s="5"/>
      <c r="O123" s="5"/>
      <c r="P123" s="5"/>
      <c r="Q123" s="5"/>
    </row>
    <row r="124" spans="1:19" ht="20.25" hidden="1" customHeight="1" x14ac:dyDescent="0.25">
      <c r="A124" s="5"/>
      <c r="B124" s="115"/>
      <c r="C124" s="5"/>
      <c r="D124" s="5"/>
      <c r="E124" s="5"/>
      <c r="F124" s="5"/>
      <c r="G124" s="5"/>
      <c r="H124" s="5"/>
      <c r="I124" s="5"/>
      <c r="J124" s="46"/>
      <c r="K124" s="5"/>
      <c r="L124" s="5"/>
      <c r="M124" s="5"/>
      <c r="N124" s="5"/>
      <c r="O124" s="5"/>
      <c r="P124" s="5"/>
      <c r="Q124" s="5"/>
    </row>
    <row r="125" spans="1:19" ht="20.25" hidden="1" customHeight="1" x14ac:dyDescent="0.25">
      <c r="A125" s="5"/>
      <c r="B125" s="115"/>
      <c r="C125" s="5"/>
      <c r="D125" s="5"/>
      <c r="E125" s="5"/>
      <c r="F125" s="5"/>
      <c r="G125" s="5"/>
      <c r="H125" s="5"/>
      <c r="I125" s="5"/>
      <c r="J125" s="46"/>
      <c r="K125" s="5"/>
      <c r="L125" s="5"/>
      <c r="M125" s="5"/>
      <c r="N125" s="5"/>
      <c r="O125" s="5"/>
      <c r="P125" s="5"/>
      <c r="Q125" s="5"/>
    </row>
    <row r="126" spans="1:19" ht="20.25" hidden="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49"/>
      <c r="K126" s="5"/>
      <c r="L126" s="5"/>
      <c r="M126" s="5"/>
      <c r="N126" s="5"/>
      <c r="O126" s="5"/>
      <c r="P126" s="5"/>
      <c r="Q126" s="5"/>
    </row>
    <row r="127" spans="1:19" ht="20.25" hidden="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9" ht="20.25" hidden="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20.25" hidden="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idden="1" x14ac:dyDescent="0.25">
      <c r="A130" s="5"/>
      <c r="B130" s="5"/>
      <c r="C130" s="5"/>
      <c r="D130" s="50"/>
      <c r="E130" s="5"/>
      <c r="F130" s="5"/>
      <c r="G130" s="5"/>
      <c r="H130" s="5"/>
      <c r="I130" s="5"/>
      <c r="J130" s="5"/>
      <c r="K130" s="5"/>
      <c r="L130" s="50" t="str">
        <f>IF(AND(G20&gt;1,G29&gt;0),14.5+G13-#REF!,"")</f>
        <v/>
      </c>
      <c r="M130" s="5"/>
      <c r="N130" s="5"/>
      <c r="O130" s="5"/>
      <c r="P130" s="5"/>
      <c r="Q130" s="5"/>
    </row>
    <row r="131" spans="1:17" hidden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idden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8.75" hidden="1" x14ac:dyDescent="0.3">
      <c r="A133" s="5"/>
      <c r="B133" s="37"/>
      <c r="C133" s="37" t="str">
        <f>IF(AND(G20&gt;2,G28&gt;0),Překlady!C62,"")</f>
        <v/>
      </c>
      <c r="D133" s="5"/>
      <c r="E133" s="5"/>
      <c r="F133" s="5"/>
      <c r="G133" s="5"/>
      <c r="H133" s="5"/>
      <c r="I133" s="5"/>
      <c r="J133" s="37"/>
      <c r="K133" s="37" t="str">
        <f>IF(AND(G20&gt;3,G28&gt;0),Překlady!C63,"")</f>
        <v/>
      </c>
      <c r="L133" s="5"/>
      <c r="M133" s="5"/>
      <c r="N133" s="5"/>
      <c r="O133" s="5"/>
      <c r="P133" s="5"/>
      <c r="Q133" s="5"/>
    </row>
    <row r="134" spans="1:17" hidden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20.25" hidden="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20.25" hidden="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20.25" hidden="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20.25" hidden="1" customHeight="1" x14ac:dyDescent="0.25">
      <c r="A138" s="5"/>
      <c r="B138" s="43"/>
      <c r="C138" s="5"/>
      <c r="D138" s="5"/>
      <c r="E138" s="5"/>
      <c r="F138" s="5"/>
      <c r="G138" s="5"/>
      <c r="H138" s="5"/>
      <c r="I138" s="5"/>
      <c r="J138" s="43"/>
      <c r="K138" s="5"/>
      <c r="L138" s="5"/>
      <c r="M138" s="5"/>
      <c r="N138" s="5"/>
      <c r="O138" s="5"/>
      <c r="P138" s="5"/>
      <c r="Q138" s="5"/>
    </row>
    <row r="139" spans="1:17" ht="20.25" hidden="1" customHeight="1" x14ac:dyDescent="0.25">
      <c r="A139" s="5"/>
      <c r="B139" s="43" t="str">
        <f>IF(AND(G20&gt;2,G28&gt;0),IF(G28=249,"32",""),"")</f>
        <v/>
      </c>
      <c r="C139" s="5"/>
      <c r="D139" s="5"/>
      <c r="E139" s="5"/>
      <c r="F139" s="5"/>
      <c r="G139" s="5"/>
      <c r="H139" s="5"/>
      <c r="I139" s="5"/>
      <c r="J139" s="43" t="str">
        <f>IF(AND(G20&gt;3,G27&gt;0),IF(G27=249,"32",""),"")</f>
        <v/>
      </c>
      <c r="K139" s="5"/>
      <c r="L139" s="5"/>
      <c r="M139" s="5"/>
      <c r="N139" s="5"/>
      <c r="O139" s="5"/>
      <c r="P139" s="5"/>
      <c r="Q139" s="5"/>
    </row>
    <row r="140" spans="1:17" ht="20.25" hidden="1" customHeight="1" x14ac:dyDescent="0.25">
      <c r="A140" s="5"/>
      <c r="B140" s="44"/>
      <c r="C140" s="5"/>
      <c r="D140" s="5"/>
      <c r="E140" s="5"/>
      <c r="F140" s="5"/>
      <c r="G140" s="5"/>
      <c r="H140" s="5"/>
      <c r="I140" s="5"/>
      <c r="J140" s="44"/>
      <c r="K140" s="5"/>
      <c r="L140" s="5"/>
      <c r="M140" s="5"/>
      <c r="N140" s="5"/>
      <c r="O140" s="5"/>
      <c r="P140" s="5"/>
      <c r="Q140" s="5"/>
    </row>
    <row r="141" spans="1:17" ht="20.25" hidden="1" customHeight="1" x14ac:dyDescent="0.25">
      <c r="A141" s="5"/>
      <c r="B141" s="43" t="str">
        <f>IF(AND(G20&gt;2,G28&gt;0),IF(OR(G28=185,G28=89),"32",""),"")</f>
        <v/>
      </c>
      <c r="C141" s="5"/>
      <c r="D141" s="5"/>
      <c r="E141" s="5"/>
      <c r="F141" s="5"/>
      <c r="G141" s="5"/>
      <c r="H141" s="5"/>
      <c r="I141" s="5"/>
      <c r="J141" s="43" t="str">
        <f>IF(AND(G20&gt;3,G27&gt;0),IF(OR(G27=185,G27=89),"32",""),"")</f>
        <v/>
      </c>
      <c r="K141" s="5"/>
      <c r="L141" s="5"/>
      <c r="M141" s="5"/>
      <c r="N141" s="5"/>
      <c r="O141" s="5"/>
      <c r="P141" s="5"/>
      <c r="Q141" s="5"/>
    </row>
    <row r="142" spans="1:17" ht="20.25" hidden="1" customHeight="1" x14ac:dyDescent="0.25">
      <c r="A142" s="5"/>
      <c r="B142" s="45" t="str">
        <f>IF(AND(G20&gt;2,G28&gt;0),IF(G28=249,"32",""),"")</f>
        <v/>
      </c>
      <c r="C142" s="5"/>
      <c r="D142" s="5"/>
      <c r="E142" s="5"/>
      <c r="F142" s="5"/>
      <c r="G142" s="5"/>
      <c r="H142" s="5"/>
      <c r="I142" s="5"/>
      <c r="J142" s="45" t="str">
        <f>IF(AND(G20&gt;3,G27&gt;0),IF(G27=249,"32",""),"")</f>
        <v/>
      </c>
      <c r="K142" s="5"/>
      <c r="L142" s="5"/>
      <c r="M142" s="5"/>
      <c r="N142" s="5"/>
      <c r="O142" s="5"/>
      <c r="P142" s="5"/>
      <c r="Q142" s="5"/>
    </row>
    <row r="143" spans="1:17" ht="20.25" hidden="1" customHeight="1" x14ac:dyDescent="0.25">
      <c r="A143" s="5"/>
      <c r="B143" s="46"/>
      <c r="C143" s="5"/>
      <c r="D143" s="5"/>
      <c r="E143" s="5"/>
      <c r="F143" s="5"/>
      <c r="G143" s="5"/>
      <c r="H143" s="5"/>
      <c r="I143" s="5"/>
      <c r="J143" s="46"/>
      <c r="K143" s="5"/>
      <c r="L143" s="5"/>
      <c r="M143" s="5"/>
      <c r="N143" s="5"/>
      <c r="O143" s="5"/>
      <c r="P143" s="5"/>
      <c r="Q143" s="5"/>
    </row>
    <row r="144" spans="1:17" ht="20.25" hidden="1" customHeight="1" x14ac:dyDescent="0.25">
      <c r="A144" s="5"/>
      <c r="B144" s="47" t="str">
        <f>IF(AND(G20&gt;2,G28&gt;0),IF(G28=249,"32",""),"")</f>
        <v/>
      </c>
      <c r="C144" s="5"/>
      <c r="D144" s="5"/>
      <c r="E144" s="5"/>
      <c r="F144" s="5"/>
      <c r="G144" s="5"/>
      <c r="H144" s="5"/>
      <c r="I144" s="5"/>
      <c r="J144" s="47"/>
      <c r="K144" s="5"/>
      <c r="L144" s="5"/>
      <c r="M144" s="5"/>
      <c r="N144" s="5"/>
      <c r="O144" s="5"/>
      <c r="P144" s="5"/>
      <c r="Q144" s="5"/>
    </row>
    <row r="145" spans="1:17" ht="20.25" hidden="1" customHeight="1" x14ac:dyDescent="0.25">
      <c r="A145" s="5"/>
      <c r="B145" s="48" t="str">
        <f>IF(AND(G20&gt;2,G28&gt;0),IF(G28=185,"64",""),"")</f>
        <v/>
      </c>
      <c r="C145" s="5"/>
      <c r="D145" s="5"/>
      <c r="E145" s="5"/>
      <c r="F145" s="5"/>
      <c r="G145" s="5"/>
      <c r="H145" s="5"/>
      <c r="I145" s="49"/>
      <c r="J145" s="48"/>
      <c r="K145" s="5"/>
      <c r="L145" s="5"/>
      <c r="M145" s="5"/>
      <c r="N145" s="5"/>
      <c r="O145" s="5"/>
      <c r="P145" s="5"/>
      <c r="Q145" s="358" t="str">
        <f>IF(AND(G20&gt;3,G27&gt;0),#REF!-#REF!,"")</f>
        <v/>
      </c>
    </row>
    <row r="146" spans="1:17" ht="20.25" hidden="1" customHeight="1" x14ac:dyDescent="0.25">
      <c r="A146" s="5"/>
      <c r="B146" s="44" t="str">
        <f>IF(AND(G20&gt;2,G28&gt;0),IF(G28=121,"32",""),"")</f>
        <v/>
      </c>
      <c r="C146" s="5"/>
      <c r="D146" s="5"/>
      <c r="E146" s="5"/>
      <c r="F146" s="5"/>
      <c r="G146" s="5"/>
      <c r="H146" s="5"/>
      <c r="I146" s="49"/>
      <c r="J146" s="44"/>
      <c r="K146" s="5"/>
      <c r="L146" s="5"/>
      <c r="M146" s="5"/>
      <c r="N146" s="5"/>
      <c r="O146" s="5"/>
      <c r="P146" s="5"/>
      <c r="Q146" s="358"/>
    </row>
    <row r="147" spans="1:17" ht="20.25" hidden="1" customHeight="1" x14ac:dyDescent="0.25">
      <c r="A147" s="5"/>
      <c r="B147" s="360" t="str">
        <f>IF(AND(G20&gt;2,G28&gt;0),IF(G28=249,"64",""),"")</f>
        <v/>
      </c>
      <c r="C147" s="5"/>
      <c r="D147" s="5"/>
      <c r="E147" s="5"/>
      <c r="F147" s="5"/>
      <c r="G147" s="5"/>
      <c r="H147" s="5"/>
      <c r="I147" s="49"/>
      <c r="J147" s="43"/>
      <c r="K147" s="5"/>
      <c r="L147" s="5"/>
      <c r="M147" s="5"/>
      <c r="N147" s="5"/>
      <c r="O147" s="5"/>
      <c r="P147" s="5"/>
      <c r="Q147" s="49"/>
    </row>
    <row r="148" spans="1:17" ht="20.25" hidden="1" customHeight="1" x14ac:dyDescent="0.25">
      <c r="A148" s="5"/>
      <c r="B148" s="360"/>
      <c r="C148" s="5"/>
      <c r="D148" s="5"/>
      <c r="E148" s="5"/>
      <c r="F148" s="5"/>
      <c r="G148" s="5"/>
      <c r="H148" s="5"/>
      <c r="I148" s="49"/>
      <c r="J148" s="43"/>
      <c r="K148" s="5"/>
      <c r="L148" s="5"/>
      <c r="M148" s="5"/>
      <c r="N148" s="5"/>
      <c r="O148" s="5"/>
      <c r="P148" s="5"/>
      <c r="Q148" s="49"/>
    </row>
    <row r="149" spans="1:17" ht="20.25" hidden="1" customHeight="1" x14ac:dyDescent="0.25">
      <c r="A149" s="5"/>
      <c r="B149" s="360" t="str">
        <f>IF(G20&gt;2,IF(G28=185,32,IF(G28=89,61.5+5,"")),"")</f>
        <v/>
      </c>
      <c r="C149" s="5"/>
      <c r="D149" s="5"/>
      <c r="E149" s="5"/>
      <c r="F149" s="5"/>
      <c r="G149" s="5"/>
      <c r="H149" s="5"/>
      <c r="I149" s="5"/>
      <c r="J149" s="43"/>
      <c r="K149" s="5"/>
      <c r="L149" s="5"/>
      <c r="M149" s="5"/>
      <c r="N149" s="5"/>
      <c r="O149" s="5"/>
      <c r="P149" s="5"/>
      <c r="Q149" s="5"/>
    </row>
    <row r="150" spans="1:17" ht="20.25" hidden="1" customHeight="1" x14ac:dyDescent="0.25">
      <c r="A150" s="5"/>
      <c r="B150" s="360"/>
      <c r="C150" s="5"/>
      <c r="D150" s="5"/>
      <c r="E150" s="5"/>
      <c r="F150" s="5"/>
      <c r="G150" s="5"/>
      <c r="H150" s="5"/>
      <c r="I150" s="5"/>
      <c r="J150" s="43"/>
      <c r="K150" s="5"/>
      <c r="L150" s="5"/>
      <c r="M150" s="5"/>
      <c r="N150" s="5"/>
      <c r="O150" s="5"/>
      <c r="P150" s="5"/>
      <c r="Q150" s="5"/>
    </row>
    <row r="151" spans="1:17" ht="20.25" hidden="1" customHeight="1" x14ac:dyDescent="0.25">
      <c r="A151" s="5"/>
      <c r="B151" s="359" t="str">
        <f>IF(G20&gt;2,IF(G28=121,61.5+5,IF(G28=249,32,"")),"")</f>
        <v/>
      </c>
      <c r="C151" s="5"/>
      <c r="D151" s="5"/>
      <c r="E151" s="5"/>
      <c r="F151" s="5"/>
      <c r="G151" s="5"/>
      <c r="H151" s="5"/>
      <c r="I151" s="5"/>
      <c r="J151" s="46"/>
      <c r="K151" s="5"/>
      <c r="L151" s="5"/>
      <c r="M151" s="5"/>
      <c r="N151" s="5"/>
      <c r="O151" s="5"/>
      <c r="P151" s="5"/>
      <c r="Q151" s="5"/>
    </row>
    <row r="152" spans="1:17" ht="20.25" hidden="1" customHeight="1" x14ac:dyDescent="0.25">
      <c r="A152" s="5"/>
      <c r="B152" s="359"/>
      <c r="C152" s="5"/>
      <c r="D152" s="5"/>
      <c r="E152" s="5"/>
      <c r="F152" s="5"/>
      <c r="G152" s="5"/>
      <c r="H152" s="5"/>
      <c r="I152" s="5"/>
      <c r="J152" s="46"/>
      <c r="K152" s="5"/>
      <c r="L152" s="5"/>
      <c r="M152" s="5"/>
      <c r="N152" s="5"/>
      <c r="O152" s="5"/>
      <c r="P152" s="5"/>
      <c r="Q152" s="5"/>
    </row>
    <row r="153" spans="1:17" ht="20.25" hidden="1" customHeight="1" x14ac:dyDescent="0.25">
      <c r="A153" s="5"/>
      <c r="B153" s="49"/>
      <c r="C153" s="5"/>
      <c r="D153" s="5"/>
      <c r="E153" s="5"/>
      <c r="F153" s="5"/>
      <c r="G153" s="5"/>
      <c r="H153" s="5"/>
      <c r="I153" s="5"/>
      <c r="J153" s="49"/>
      <c r="K153" s="5"/>
      <c r="L153" s="5"/>
      <c r="M153" s="5"/>
      <c r="N153" s="5"/>
      <c r="O153" s="5"/>
      <c r="P153" s="5"/>
      <c r="Q153" s="5"/>
    </row>
    <row r="154" spans="1:17" ht="20.25" hidden="1" customHeight="1" x14ac:dyDescent="0.25">
      <c r="A154" s="5"/>
      <c r="B154" s="359" t="str">
        <f>IF(G20&gt;2,IF(OR(G28=249,G28=185),61.5+5,""),"")</f>
        <v/>
      </c>
      <c r="C154" s="5"/>
      <c r="D154" s="5"/>
      <c r="E154" s="5"/>
      <c r="F154" s="5"/>
      <c r="G154" s="5"/>
      <c r="H154" s="5"/>
      <c r="I154" s="5"/>
      <c r="J154" s="46"/>
      <c r="K154" s="5"/>
      <c r="L154" s="5"/>
      <c r="M154" s="5"/>
      <c r="N154" s="5"/>
      <c r="O154" s="5"/>
      <c r="P154" s="5"/>
      <c r="Q154" s="5"/>
    </row>
    <row r="155" spans="1:17" ht="20.25" hidden="1" customHeight="1" x14ac:dyDescent="0.25">
      <c r="A155" s="5"/>
      <c r="B155" s="359"/>
      <c r="C155" s="5"/>
      <c r="D155" s="5"/>
      <c r="E155" s="5"/>
      <c r="F155" s="5"/>
      <c r="G155" s="5"/>
      <c r="H155" s="5"/>
      <c r="I155" s="5"/>
      <c r="J155" s="46"/>
      <c r="K155" s="5"/>
      <c r="L155" s="5"/>
      <c r="M155" s="5"/>
      <c r="N155" s="5"/>
      <c r="O155" s="5"/>
      <c r="P155" s="5"/>
      <c r="Q155" s="5"/>
    </row>
    <row r="156" spans="1:17" ht="20.25" hidden="1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20.25" hidden="1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20.25" hidden="1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20.25" hidden="1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21" hidden="1" customHeight="1" x14ac:dyDescent="0.25">
      <c r="A160" s="5"/>
      <c r="B160" s="49"/>
      <c r="C160" s="5"/>
      <c r="D160" s="53" t="str">
        <f>IF(AND(G20&gt;2,G28&gt;0),14.5+G13-#REF!,"")</f>
        <v/>
      </c>
      <c r="E160" s="5"/>
      <c r="F160" s="5"/>
      <c r="G160" s="5"/>
      <c r="H160" s="5"/>
      <c r="I160" s="5"/>
      <c r="J160" s="5"/>
      <c r="K160" s="5"/>
      <c r="L160" s="53"/>
      <c r="M160" s="5"/>
      <c r="N160" s="5"/>
      <c r="O160" s="5"/>
      <c r="P160" s="5"/>
      <c r="Q160" s="5"/>
    </row>
    <row r="161" spans="1:17" hidden="1" x14ac:dyDescent="0.25">
      <c r="A161" s="5"/>
      <c r="B161" s="5"/>
      <c r="C161" s="5"/>
      <c r="D161" s="53"/>
      <c r="E161" s="5"/>
      <c r="F161" s="5"/>
      <c r="G161" s="5"/>
      <c r="H161" s="5"/>
      <c r="I161" s="5"/>
      <c r="J161" s="5"/>
      <c r="K161" s="5"/>
      <c r="L161" s="53"/>
      <c r="M161" s="5"/>
      <c r="N161" s="5"/>
      <c r="O161" s="5"/>
      <c r="P161" s="5"/>
      <c r="Q161" s="5"/>
    </row>
    <row r="162" spans="1:17" hidden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idden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8.75" hidden="1" x14ac:dyDescent="0.3">
      <c r="A164" s="5"/>
      <c r="B164" s="37"/>
      <c r="C164" s="37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idden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20.25" hidden="1" customHeight="1" x14ac:dyDescent="0.25">
      <c r="A166" s="5"/>
      <c r="B166" s="49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20.25" hidden="1" customHeight="1" x14ac:dyDescent="0.25">
      <c r="A167" s="5"/>
      <c r="B167" s="49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20.25" hidden="1" customHeight="1" x14ac:dyDescent="0.25">
      <c r="A168" s="5"/>
      <c r="B168" s="49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20.25" hidden="1" customHeight="1" x14ac:dyDescent="0.25">
      <c r="A169" s="5"/>
      <c r="B169" s="359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20.25" hidden="1" customHeight="1" x14ac:dyDescent="0.25">
      <c r="A170" s="5"/>
      <c r="B170" s="359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20.25" hidden="1" customHeight="1" x14ac:dyDescent="0.25">
      <c r="A171" s="5"/>
      <c r="B171" s="49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20.25" hidden="1" customHeight="1" x14ac:dyDescent="0.25">
      <c r="A172" s="5"/>
      <c r="B172" s="51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20.25" hidden="1" customHeight="1" x14ac:dyDescent="0.25">
      <c r="A173" s="5"/>
      <c r="B173" s="49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20.25" hidden="1" customHeight="1" x14ac:dyDescent="0.25">
      <c r="A174" s="5"/>
      <c r="B174" s="49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20.25" hidden="1" customHeight="1" x14ac:dyDescent="0.25">
      <c r="A175" s="5"/>
      <c r="B175" s="49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20.25" hidden="1" customHeight="1" x14ac:dyDescent="0.25">
      <c r="A176" s="5"/>
      <c r="B176" s="49"/>
      <c r="C176" s="5"/>
      <c r="D176" s="5"/>
      <c r="E176" s="5"/>
      <c r="F176" s="5"/>
      <c r="G176" s="5"/>
      <c r="H176" s="5"/>
      <c r="I176" s="358"/>
      <c r="J176" s="5"/>
      <c r="K176" s="5"/>
      <c r="L176" s="5"/>
      <c r="M176" s="5"/>
      <c r="N176" s="5"/>
      <c r="O176" s="5"/>
      <c r="P176" s="5"/>
      <c r="Q176" s="5"/>
    </row>
    <row r="177" spans="1:17" ht="20.25" hidden="1" customHeight="1" x14ac:dyDescent="0.25">
      <c r="A177" s="5"/>
      <c r="B177" s="49"/>
      <c r="C177" s="5"/>
      <c r="D177" s="5"/>
      <c r="E177" s="5"/>
      <c r="F177" s="5"/>
      <c r="G177" s="5"/>
      <c r="H177" s="5"/>
      <c r="I177" s="358"/>
      <c r="J177" s="5"/>
      <c r="K177" s="5"/>
      <c r="L177" s="5"/>
      <c r="M177" s="5"/>
      <c r="N177" s="5"/>
      <c r="O177" s="5"/>
      <c r="P177" s="5"/>
      <c r="Q177" s="5"/>
    </row>
    <row r="178" spans="1:17" ht="20.25" hidden="1" customHeight="1" x14ac:dyDescent="0.25">
      <c r="A178" s="5"/>
      <c r="B178" s="359"/>
      <c r="C178" s="5"/>
      <c r="D178" s="5"/>
      <c r="E178" s="5"/>
      <c r="F178" s="5"/>
      <c r="G178" s="5"/>
      <c r="H178" s="5"/>
      <c r="I178" s="46"/>
      <c r="J178" s="5"/>
      <c r="K178" s="5"/>
      <c r="L178" s="5"/>
      <c r="M178" s="5"/>
      <c r="N178" s="5"/>
      <c r="O178" s="5"/>
      <c r="P178" s="5"/>
      <c r="Q178" s="5"/>
    </row>
    <row r="179" spans="1:17" ht="20.25" hidden="1" customHeight="1" x14ac:dyDescent="0.25">
      <c r="A179" s="5"/>
      <c r="B179" s="359"/>
      <c r="C179" s="5"/>
      <c r="D179" s="5"/>
      <c r="E179" s="5"/>
      <c r="F179" s="5"/>
      <c r="G179" s="5"/>
      <c r="H179" s="5"/>
      <c r="I179" s="46"/>
      <c r="J179" s="5"/>
      <c r="K179" s="5"/>
      <c r="L179" s="5"/>
      <c r="M179" s="5"/>
      <c r="N179" s="5"/>
      <c r="O179" s="5"/>
      <c r="P179" s="5"/>
      <c r="Q179" s="5"/>
    </row>
    <row r="180" spans="1:17" ht="20.25" hidden="1" customHeight="1" x14ac:dyDescent="0.25">
      <c r="A180" s="5"/>
      <c r="B180" s="359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20.25" hidden="1" customHeight="1" x14ac:dyDescent="0.25">
      <c r="A181" s="5"/>
      <c r="B181" s="359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20.25" hidden="1" customHeight="1" x14ac:dyDescent="0.25">
      <c r="A182" s="5"/>
      <c r="B182" s="49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20.25" hidden="1" customHeight="1" x14ac:dyDescent="0.25">
      <c r="A183" s="5"/>
      <c r="B183" s="340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20.25" hidden="1" customHeight="1" x14ac:dyDescent="0.25">
      <c r="A184" s="5"/>
      <c r="B184" s="340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20.25" hidden="1" customHeight="1" x14ac:dyDescent="0.25">
      <c r="A185" s="5"/>
      <c r="B185" s="341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20.25" hidden="1" customHeight="1" x14ac:dyDescent="0.25">
      <c r="A186" s="5"/>
      <c r="B186" s="34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20.25" hidden="1" customHeight="1" x14ac:dyDescent="0.25">
      <c r="A187" s="5"/>
      <c r="B187" s="49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20.25" hidden="1" customHeight="1" x14ac:dyDescent="0.25">
      <c r="A188" s="5"/>
      <c r="B188" s="49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20.25" hidden="1" customHeight="1" x14ac:dyDescent="0.25">
      <c r="A189" s="5"/>
      <c r="B189" s="49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20.25" hidden="1" customHeight="1" x14ac:dyDescent="0.25">
      <c r="A190" s="5"/>
      <c r="B190" s="49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20.25" hidden="1" customHeight="1" x14ac:dyDescent="0.25">
      <c r="A191" s="5"/>
      <c r="B191" s="5"/>
      <c r="C191" s="5"/>
      <c r="D191" s="53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idden="1" x14ac:dyDescent="0.25">
      <c r="A192" s="5"/>
      <c r="B192" s="5"/>
      <c r="C192" s="5"/>
      <c r="D192" s="5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idden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idden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idden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</sheetData>
  <sheetProtection algorithmName="SHA-512" hashValue="l7X/PL+SntjHMkRoNwbgX75/y4gYZs019KmQbANJm5IDYROfig/BhEp8kWA1nW296T74MgfAiu0WCMvKc8ErcA==" saltValue="DAzvmMbgpwsB5DgAKY2drg==" spinCount="100000" sheet="1" objects="1" scenarios="1"/>
  <mergeCells count="51">
    <mergeCell ref="K44:L47"/>
    <mergeCell ref="E2:L3"/>
    <mergeCell ref="M2:N3"/>
    <mergeCell ref="B9:F9"/>
    <mergeCell ref="B10:F10"/>
    <mergeCell ref="B11:G11"/>
    <mergeCell ref="B12:F12"/>
    <mergeCell ref="B13:F13"/>
    <mergeCell ref="B14:F14"/>
    <mergeCell ref="B16:F16"/>
    <mergeCell ref="K25:K29"/>
    <mergeCell ref="J23:J24"/>
    <mergeCell ref="I23:I24"/>
    <mergeCell ref="K23:K24"/>
    <mergeCell ref="B42:C42"/>
    <mergeCell ref="B35:D36"/>
    <mergeCell ref="A25:A29"/>
    <mergeCell ref="B15:F15"/>
    <mergeCell ref="B25:C25"/>
    <mergeCell ref="E29:F29"/>
    <mergeCell ref="E25:F25"/>
    <mergeCell ref="E27:F27"/>
    <mergeCell ref="E28:F28"/>
    <mergeCell ref="B178:B179"/>
    <mergeCell ref="B180:B181"/>
    <mergeCell ref="B147:B148"/>
    <mergeCell ref="B149:B150"/>
    <mergeCell ref="B151:B152"/>
    <mergeCell ref="B154:B155"/>
    <mergeCell ref="B85:B86"/>
    <mergeCell ref="B88:B89"/>
    <mergeCell ref="Q115:Q116"/>
    <mergeCell ref="B169:B170"/>
    <mergeCell ref="I176:I177"/>
    <mergeCell ref="Q145:Q146"/>
    <mergeCell ref="B183:B184"/>
    <mergeCell ref="B91:B92"/>
    <mergeCell ref="B185:B186"/>
    <mergeCell ref="B17:F17"/>
    <mergeCell ref="H23:H24"/>
    <mergeCell ref="H25:H29"/>
    <mergeCell ref="B26:C26"/>
    <mergeCell ref="B27:C27"/>
    <mergeCell ref="B28:C28"/>
    <mergeCell ref="B29:C29"/>
    <mergeCell ref="D23:D24"/>
    <mergeCell ref="G23:G24"/>
    <mergeCell ref="B23:C24"/>
    <mergeCell ref="E23:F24"/>
    <mergeCell ref="E26:F26"/>
    <mergeCell ref="B82:B83"/>
  </mergeCells>
  <phoneticPr fontId="2" type="noConversion"/>
  <conditionalFormatting sqref="B81:F81">
    <cfRule type="expression" dxfId="23" priority="10">
      <formula>$G$15=5</formula>
    </cfRule>
  </conditionalFormatting>
  <conditionalFormatting sqref="B84:F84">
    <cfRule type="expression" dxfId="22" priority="9">
      <formula>$G$15&gt;3</formula>
    </cfRule>
  </conditionalFormatting>
  <conditionalFormatting sqref="C80:C85">
    <cfRule type="expression" dxfId="21" priority="3">
      <formula>$G$15&gt;3</formula>
    </cfRule>
  </conditionalFormatting>
  <conditionalFormatting sqref="C80:G80">
    <cfRule type="expression" dxfId="20" priority="1">
      <formula>$G$15&gt;3</formula>
    </cfRule>
  </conditionalFormatting>
  <conditionalFormatting sqref="C86:G86">
    <cfRule type="expression" dxfId="19" priority="4">
      <formula>$G$15&lt;4</formula>
    </cfRule>
  </conditionalFormatting>
  <conditionalFormatting sqref="D81:E83">
    <cfRule type="expression" dxfId="18" priority="7">
      <formula>$G$15=5</formula>
    </cfRule>
  </conditionalFormatting>
  <conditionalFormatting sqref="D84:E86">
    <cfRule type="expression" dxfId="17" priority="6">
      <formula>$G$15&gt;3</formula>
    </cfRule>
  </conditionalFormatting>
  <conditionalFormatting sqref="G80:G85">
    <cfRule type="expression" dxfId="15" priority="2">
      <formula>$G$15&gt;3</formula>
    </cfRule>
  </conditionalFormatting>
  <conditionalFormatting sqref="H25:H29">
    <cfRule type="cellIs" dxfId="14" priority="20" operator="lessThan">
      <formula>0</formula>
    </cfRule>
    <cfRule type="cellIs" dxfId="13" priority="21" operator="greaterThan">
      <formula>0</formula>
    </cfRule>
    <cfRule type="cellIs" dxfId="12" priority="22" operator="equal">
      <formula>0</formula>
    </cfRule>
  </conditionalFormatting>
  <conditionalFormatting sqref="J50:J51">
    <cfRule type="cellIs" dxfId="11" priority="14" operator="greaterThan">
      <formula>0</formula>
    </cfRule>
  </conditionalFormatting>
  <conditionalFormatting sqref="J53:J57">
    <cfRule type="cellIs" dxfId="10" priority="12" operator="greaterThan">
      <formula>0</formula>
    </cfRule>
  </conditionalFormatting>
  <conditionalFormatting sqref="J62:J69">
    <cfRule type="cellIs" dxfId="9" priority="11" operator="greaterThan">
      <formula>0</formula>
    </cfRule>
  </conditionalFormatting>
  <conditionalFormatting sqref="K44:L47">
    <cfRule type="notContainsBlanks" dxfId="8" priority="13">
      <formula>LEN(TRIM(K44))&gt;0</formula>
    </cfRule>
  </conditionalFormatting>
  <dataValidations count="19">
    <dataValidation type="whole" allowBlank="1" showInputMessage="1" showErrorMessage="1" sqref="G12:G13" xr:uid="{34488688-4015-462C-B5CE-86952009176F}">
      <formula1>14</formula1>
      <formula2>22</formula2>
    </dataValidation>
    <dataValidation type="whole" allowBlank="1" showInputMessage="1" showErrorMessage="1" error="MAX 1200" sqref="G10" xr:uid="{ECC8E85D-4E5A-4A56-A665-B3FDF6522BCE}">
      <formula1>400</formula1>
      <formula2>1187</formula2>
    </dataValidation>
    <dataValidation type="whole" allowBlank="1" showInputMessage="1" showErrorMessage="1" error="MIN 1200" sqref="G9" xr:uid="{6C3F8039-67F3-41A5-9D68-16F7305F8AFE}">
      <formula1>1200</formula1>
      <formula2>2800</formula2>
    </dataValidation>
    <dataValidation type="list" allowBlank="1" showInputMessage="1" showErrorMessage="1" sqref="G14" xr:uid="{42ED562E-DE2D-45E6-8015-2B90856FE258}">
      <formula1>"300,350,400,450,500,550,600,650"</formula1>
    </dataValidation>
    <dataValidation type="list" allowBlank="1" showInputMessage="1" showErrorMessage="1" sqref="P18:P22 D25:D29" xr:uid="{D44A4E2C-769C-4F88-A27F-4693A34F1183}">
      <formula1>$P$11:$P$13</formula1>
    </dataValidation>
    <dataValidation type="list" allowBlank="1" showInputMessage="1" showErrorMessage="1" sqref="G15" xr:uid="{C6E8532E-A245-4CA7-8787-F68981371AE5}">
      <formula1>"3,4,5"</formula1>
    </dataValidation>
    <dataValidation type="whole" allowBlank="1" showInputMessage="1" showErrorMessage="1" sqref="G29" xr:uid="{89B12B10-5F88-4E7B-BCDC-527C41948543}">
      <formula1>P33</formula1>
      <formula2>450</formula2>
    </dataValidation>
    <dataValidation type="whole" allowBlank="1" showInputMessage="1" showErrorMessage="1" sqref="G17" xr:uid="{027F5D25-15BF-431A-A453-4474E4C66B81}">
      <formula1>200</formula1>
      <formula2>1500</formula2>
    </dataValidation>
    <dataValidation type="list" allowBlank="1" showInputMessage="1" showErrorMessage="1" sqref="J29" xr:uid="{65802A22-4776-4985-BE94-70E5ADA57C34}">
      <formula1>$X$5:$Y$5</formula1>
    </dataValidation>
    <dataValidation type="list" allowBlank="1" showInputMessage="1" showErrorMessage="1" sqref="J28" xr:uid="{1BF4A225-88FA-469D-B7A7-3659B16FB8B1}">
      <formula1>$X$4:$Y$4</formula1>
    </dataValidation>
    <dataValidation type="list" allowBlank="1" showInputMessage="1" showErrorMessage="1" sqref="J25" xr:uid="{A58CC737-F71C-48BE-B8DA-48AAD9116FB2}">
      <formula1>$X$1:$Y$1</formula1>
    </dataValidation>
    <dataValidation type="list" allowBlank="1" showInputMessage="1" showErrorMessage="1" sqref="J26" xr:uid="{2A82F38B-95E1-4869-8E18-0EDB4DB0995D}">
      <formula1>$X$2:$Y$2</formula1>
    </dataValidation>
    <dataValidation type="list" allowBlank="1" showInputMessage="1" showErrorMessage="1" sqref="J27" xr:uid="{9D398CDC-87B3-4D38-BC28-CCF3B278DDD3}">
      <formula1>$X$3:$Y$3</formula1>
    </dataValidation>
    <dataValidation type="list" allowBlank="1" showInputMessage="1" showErrorMessage="1" sqref="K25:K29" xr:uid="{DEDB912F-A925-47D5-A539-91425DFAD1C6}">
      <formula1>$U$2:$U$4</formula1>
    </dataValidation>
    <dataValidation type="list" allowBlank="1" showInputMessage="1" showErrorMessage="1" sqref="I29" xr:uid="{CAC79103-6A60-4C8A-8C75-FBDFECB9499E}">
      <formula1>$AC$5:$AD$5</formula1>
    </dataValidation>
    <dataValidation type="list" allowBlank="1" showInputMessage="1" showErrorMessage="1" sqref="I25" xr:uid="{A3F019E2-AF21-4EDE-9276-122696C51925}">
      <formula1>$AC$1:$AD$1</formula1>
    </dataValidation>
    <dataValidation type="list" allowBlank="1" showInputMessage="1" showErrorMessage="1" sqref="I26" xr:uid="{55292853-B9BD-4461-BA30-31C0031B6DBB}">
      <formula1>$AC$2:$AD$2</formula1>
    </dataValidation>
    <dataValidation type="list" allowBlank="1" showInputMessage="1" showErrorMessage="1" sqref="I27" xr:uid="{DB9D694A-82C3-4B0D-AA5B-BDD1C7B7CDC2}">
      <formula1>$AC$3:$AD$3</formula1>
    </dataValidation>
    <dataValidation type="list" allowBlank="1" showInputMessage="1" showErrorMessage="1" sqref="I28" xr:uid="{A0D2CE80-B852-4DE4-9F89-B9F76A97DC86}">
      <formula1>$AC$4:$AD$4</formula1>
    </dataValidation>
  </dataValidations>
  <hyperlinks>
    <hyperlink ref="M2:N3" location="Úvod!A1" display="Úvod!A1" xr:uid="{6DCDA9F1-E8BD-48B9-B37D-5AFCB4891114}"/>
    <hyperlink ref="B35:D36" location="Menu!A1" display="Menu!A1" xr:uid="{1FB7DDC4-58A0-4F7D-B2C7-AC427120B988}"/>
  </hyperlinks>
  <printOptions verticalCentered="1"/>
  <pageMargins left="3.937007874015748E-2" right="3.937007874015748E-2" top="3.937007874015748E-2" bottom="3.937007874015748E-2" header="0" footer="0"/>
  <pageSetup paperSize="9" scale="120" orientation="landscape" verticalDpi="6" r:id="rId1"/>
  <drawing r:id="rId2"/>
  <legacyDrawing r:id="rId3"/>
  <oleObjects>
    <mc:AlternateContent xmlns:mc="http://schemas.openxmlformats.org/markup-compatibility/2006">
      <mc:Choice Requires="x14">
        <oleObject progId="Worksheet" dvAspect="DVASPECT_ICON" shapeId="89394" r:id="rId4">
          <objectPr defaultSize="0" autoPict="0" r:id="rId5">
            <anchor moveWithCells="1">
              <from>
                <xdr:col>10</xdr:col>
                <xdr:colOff>104775</xdr:colOff>
                <xdr:row>72</xdr:row>
                <xdr:rowOff>228600</xdr:rowOff>
              </from>
              <to>
                <xdr:col>10</xdr:col>
                <xdr:colOff>923925</xdr:colOff>
                <xdr:row>76</xdr:row>
                <xdr:rowOff>66675</xdr:rowOff>
              </to>
            </anchor>
          </objectPr>
        </oleObject>
      </mc:Choice>
      <mc:Fallback>
        <oleObject progId="Worksheet" dvAspect="DVASPECT_ICON" shapeId="89394" r:id="rId4"/>
      </mc:Fallback>
    </mc:AlternateContent>
  </oleObjec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" id="{5D3A3361-F3FC-4229-B2E8-8888D67B2379}">
            <xm:f>$G$16=Překlady!$C$67</xm:f>
            <x14:dxf>
              <font>
                <b/>
                <i val="0"/>
                <color auto="1"/>
              </font>
              <border>
                <left style="thin">
                  <color auto="1"/>
                </left>
                <right style="thin">
                  <color auto="1"/>
                </right>
                <bottom style="thin">
                  <color auto="1"/>
                </bottom>
              </border>
            </x14:dxf>
          </x14:cfRule>
          <xm:sqref>B17:F17</xm:sqref>
        </x14:conditionalFormatting>
        <x14:conditionalFormatting xmlns:xm="http://schemas.microsoft.com/office/excel/2006/main">
          <x14:cfRule type="expression" priority="16" id="{F13A78AB-C2E9-4464-B9FD-5BE1C223F36E}">
            <xm:f>$G$16=Překlady!$C$67</xm:f>
            <x14:dxf>
              <font>
                <b/>
                <i val="0"/>
                <color theme="1"/>
              </font>
              <fill>
                <patternFill>
                  <bgColor rgb="FFFFCC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bottom style="thin">
                  <color auto="1"/>
                </bottom>
                <vertical/>
                <horizontal/>
              </border>
            </x14:dxf>
          </x14:cfRule>
          <xm:sqref>G17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56A5F3-0ED9-4622-9AA7-4FDAB3C5083F}">
          <x14:formula1>
            <xm:f>Překlady!$C$67:$C$68</xm:f>
          </x14:formula1>
          <xm:sqref>G16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17" ma:contentTypeDescription="Vytvoří nový dokument" ma:contentTypeScope="" ma:versionID="a5b1f0b45e4fc21665b8cd07c5ec4b1e">
  <xsd:schema xmlns:xsd="http://www.w3.org/2001/XMLSchema" xmlns:xs="http://www.w3.org/2001/XMLSchema" xmlns:p="http://schemas.microsoft.com/office/2006/metadata/properties" xmlns:ns2="cd5ff2c2-d0f5-469d-bf4e-c27dd00b986b" xmlns:ns3="9cacabe1-a925-4c8e-93ad-bc3cc27619b4" targetNamespace="http://schemas.microsoft.com/office/2006/metadata/properties" ma:root="true" ma:fieldsID="6daa144c46561d03e42af4e2d7e9542a" ns2:_="" ns3:_="">
    <xsd:import namespace="cd5ff2c2-d0f5-469d-bf4e-c27dd00b986b"/>
    <xsd:import namespace="9cacabe1-a925-4c8e-93ad-bc3cc27619b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Asan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64a384c-dde1-4814-9aab-284c87304fd8}" ma:internalName="TaxCatchAll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Asana" ma:index="22" nillable="true" ma:displayName="Asana" ma:description="Odkaz na položku roadmapy do Asany" ma:format="Hyperlink" ma:internalName="Asana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Props1.xml><?xml version="1.0" encoding="utf-8"?>
<ds:datastoreItem xmlns:ds="http://schemas.openxmlformats.org/officeDocument/2006/customXml" ds:itemID="{70CC3289-02B2-4FFF-8160-EA50B9463A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C66970-5B95-40EE-8BFC-F5FAFBA4B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ff2c2-d0f5-469d-bf4e-c27dd00b986b"/>
    <ds:schemaRef ds:uri="9cacabe1-a925-4c8e-93ad-bc3cc2761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3440EB-4317-4E60-BC55-A5CC7B11AB13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9cacabe1-a925-4c8e-93ad-bc3cc27619b4"/>
    <ds:schemaRef ds:uri="http://purl.org/dc/terms/"/>
    <ds:schemaRef ds:uri="http://schemas.openxmlformats.org/package/2006/metadata/core-properties"/>
    <ds:schemaRef ds:uri="cd5ff2c2-d0f5-469d-bf4e-c27dd00b986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15</vt:i4>
      </vt:variant>
    </vt:vector>
  </HeadingPairs>
  <TitlesOfParts>
    <vt:vector size="27" baseType="lpstr">
      <vt:lpstr>Úvod</vt:lpstr>
      <vt:lpstr>Zakaznik</vt:lpstr>
      <vt:lpstr>Menu</vt:lpstr>
      <vt:lpstr>Překlady</vt:lpstr>
      <vt:lpstr>nákresy</vt:lpstr>
      <vt:lpstr>čelo</vt:lpstr>
      <vt:lpstr>Smini</vt:lpstr>
      <vt:lpstr>kontrola</vt:lpstr>
      <vt:lpstr>vnitřní</vt:lpstr>
      <vt:lpstr>vnitřní2</vt:lpstr>
      <vt:lpstr>Karty</vt:lpstr>
      <vt:lpstr>výška bočnic</vt:lpstr>
      <vt:lpstr>Smini!ČTYŘI_VÝŠKY</vt:lpstr>
      <vt:lpstr>vnitřní!ČTYŘI_VÝŠKY</vt:lpstr>
      <vt:lpstr>ČTYŘI_VÝŠKY</vt:lpstr>
      <vt:lpstr>Smini!DVĚ_VÝŠKY</vt:lpstr>
      <vt:lpstr>vnitřní!DVĚ_VÝŠKY</vt:lpstr>
      <vt:lpstr>DVĚ_VÝŠKY</vt:lpstr>
      <vt:lpstr>Smini!JEDNA_VÝŠKA</vt:lpstr>
      <vt:lpstr>vnitřní!JEDNA_VÝŠKA</vt:lpstr>
      <vt:lpstr>JEDNA_VÝŠKA</vt:lpstr>
      <vt:lpstr>čelo!Oblast_tisku</vt:lpstr>
      <vt:lpstr>Smini!Oblast_tisku</vt:lpstr>
      <vt:lpstr>vnitřní!Oblast_tisku</vt:lpstr>
      <vt:lpstr>Smini!TŘI_VÝŠKY</vt:lpstr>
      <vt:lpstr>vnitřní!TŘI_VÝŠKY</vt:lpstr>
      <vt:lpstr>TŘI_VÝŠKY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Slaběňák Jiří</dc:creator>
  <cp:keywords/>
  <dc:description/>
  <cp:lastModifiedBy>Slaběňák Jiří</cp:lastModifiedBy>
  <cp:revision/>
  <cp:lastPrinted>2026-05-06T06:51:44Z</cp:lastPrinted>
  <dcterms:created xsi:type="dcterms:W3CDTF">2024-09-16T12:39:10Z</dcterms:created>
  <dcterms:modified xsi:type="dcterms:W3CDTF">2026-07-17T07:02:33Z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