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BA242433-5F66-4895-8940-9EE25F079038}" xr6:coauthVersionLast="47" xr6:coauthVersionMax="47" xr10:uidLastSave="{00000000-0000-0000-0000-000000000000}"/>
  <workbookProtection workbookAlgorithmName="SHA-512" workbookHashValue="3EJG6w7QfSDOEOYINhl4bkNxix3dFNoe7hYn1sB3A37CPEeXdzafAMnpScQ1kEn4bgDPh4R86Axitf9zPXeU4A==" workbookSaltValue="Lgg3cAD8iQ/GZTzXe2xq8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C3784" i="40" l="1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A12" i="93" l="1"/>
  <c r="A14" i="3" l="1"/>
  <c r="A13" i="95"/>
  <c r="B6" i="30"/>
  <c r="B6" i="72"/>
  <c r="B6" i="31"/>
  <c r="A14" i="30"/>
  <c r="Q10" i="1"/>
  <c r="P10" i="1"/>
  <c r="O10" i="1"/>
  <c r="M10" i="1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7" i="78"/>
  <c r="B8" i="78" s="1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7" i="19"/>
  <c r="B8" i="19" s="1"/>
  <c r="B11" i="19" s="1"/>
  <c r="B7" i="18"/>
  <c r="B8" i="18" s="1"/>
  <c r="B10" i="18" s="1"/>
  <c r="B7" i="8"/>
  <c r="B8" i="8" s="1"/>
  <c r="B7" i="93"/>
  <c r="B8" i="93" s="1"/>
  <c r="B7" i="87"/>
  <c r="B9" i="87" s="1"/>
  <c r="B7" i="56"/>
  <c r="B8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B11" i="34" l="1"/>
  <c r="B9" i="56"/>
  <c r="B10" i="56"/>
  <c r="B11" i="56"/>
  <c r="C31" i="95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l="1"/>
  <c r="A289" i="39"/>
  <c r="E285" i="39" s="1"/>
  <c r="A288" i="39"/>
  <c r="E284" i="39" s="1"/>
  <c r="B29" i="78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E283" i="39" s="1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E282" i="39" s="1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E281" i="39" s="1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J7" i="1" s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F35" i="34" s="1"/>
  <c r="G35" i="34" s="1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S8" i="86"/>
  <c r="U8" i="86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37" i="94" l="1"/>
  <c r="R31" i="71"/>
  <c r="S31" i="71" s="1"/>
  <c r="R30" i="71"/>
  <c r="S30" i="71" s="1"/>
  <c r="T30" i="71" s="1"/>
  <c r="R27" i="71"/>
  <c r="S27" i="71" s="1"/>
  <c r="R25" i="71"/>
  <c r="S25" i="71" s="1"/>
  <c r="R33" i="71"/>
  <c r="S33" i="71" s="1"/>
  <c r="R24" i="71"/>
  <c r="S24" i="71" s="1"/>
  <c r="T24" i="71" s="1"/>
  <c r="R28" i="71"/>
  <c r="S28" i="71" s="1"/>
  <c r="R26" i="71"/>
  <c r="S26" i="71" s="1"/>
  <c r="U26" i="71" s="1"/>
  <c r="R32" i="71"/>
  <c r="S32" i="71" s="1"/>
  <c r="U32" i="71" s="1"/>
  <c r="U17" i="86"/>
  <c r="U9" i="86" s="1"/>
  <c r="R29" i="86"/>
  <c r="S29" i="86" s="1"/>
  <c r="V29" i="86" s="1"/>
  <c r="S17" i="86"/>
  <c r="R24" i="86"/>
  <c r="S24" i="86" s="1"/>
  <c r="T24" i="86" s="1"/>
  <c r="R27" i="86"/>
  <c r="S27" i="86" s="1"/>
  <c r="R25" i="86"/>
  <c r="S25" i="86" s="1"/>
  <c r="R33" i="86"/>
  <c r="S33" i="86" s="1"/>
  <c r="R31" i="86"/>
  <c r="S31" i="86" s="1"/>
  <c r="R30" i="86"/>
  <c r="S30" i="86" s="1"/>
  <c r="T30" i="86" s="1"/>
  <c r="T17" i="86"/>
  <c r="T9" i="86" s="1"/>
  <c r="R32" i="86"/>
  <c r="S32" i="86" s="1"/>
  <c r="U32" i="86" s="1"/>
  <c r="R28" i="86"/>
  <c r="S28" i="86" s="1"/>
  <c r="R26" i="86"/>
  <c r="S26" i="86" s="1"/>
  <c r="U26" i="86" s="1"/>
  <c r="U17" i="71"/>
  <c r="U9" i="71" s="1"/>
  <c r="R29" i="71"/>
  <c r="S29" i="71" s="1"/>
  <c r="V29" i="71" s="1"/>
  <c r="R22" i="5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R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M26" i="71" s="1"/>
  <c r="S17" i="71"/>
  <c r="S9" i="71" s="1"/>
  <c r="R21" i="71"/>
  <c r="S21" i="71" s="1"/>
  <c r="T21" i="71" s="1"/>
  <c r="M24" i="71" s="1"/>
  <c r="T17" i="71"/>
  <c r="T9" i="71" s="1"/>
  <c r="R22" i="71"/>
  <c r="S22" i="71" s="1"/>
  <c r="U22" i="71" s="1"/>
  <c r="M25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U8" i="85"/>
  <c r="T8" i="85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Q33" i="78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S8" i="6"/>
  <c r="T8" i="6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U8" i="4"/>
  <c r="T8" i="4"/>
  <c r="N12" i="4"/>
  <c r="R21" i="85"/>
  <c r="S21" i="85" s="1"/>
  <c r="T21" i="85" s="1"/>
  <c r="M24" i="85" s="1"/>
  <c r="O7" i="86"/>
  <c r="O8" i="86" s="1"/>
  <c r="R23" i="86"/>
  <c r="S9" i="86"/>
  <c r="R21" i="86"/>
  <c r="S21" i="86" s="1"/>
  <c r="T21" i="86" s="1"/>
  <c r="M24" i="86" s="1"/>
  <c r="R22" i="86"/>
  <c r="T8" i="3"/>
  <c r="S8" i="3"/>
  <c r="U8" i="3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U28" i="86" l="1"/>
  <c r="V28" i="86"/>
  <c r="S17" i="6"/>
  <c r="R30" i="6"/>
  <c r="S30" i="6" s="1"/>
  <c r="T30" i="6" s="1"/>
  <c r="R31" i="6"/>
  <c r="S31" i="6" s="1"/>
  <c r="R25" i="6"/>
  <c r="S25" i="6" s="1"/>
  <c r="R24" i="6"/>
  <c r="S24" i="6" s="1"/>
  <c r="T24" i="6" s="1"/>
  <c r="R33" i="6"/>
  <c r="S33" i="6" s="1"/>
  <c r="R27" i="6"/>
  <c r="S27" i="6" s="1"/>
  <c r="Q23" i="78"/>
  <c r="R23" i="78" s="1"/>
  <c r="S23" i="78" s="1"/>
  <c r="V28" i="71"/>
  <c r="U28" i="71"/>
  <c r="Q31" i="78"/>
  <c r="R31" i="78" s="1"/>
  <c r="S31" i="78" s="1"/>
  <c r="U17" i="6"/>
  <c r="R29" i="6"/>
  <c r="S29" i="6" s="1"/>
  <c r="V29" i="6" s="1"/>
  <c r="T17" i="85"/>
  <c r="T9" i="85" s="1"/>
  <c r="R26" i="85"/>
  <c r="S26" i="85" s="1"/>
  <c r="U26" i="85" s="1"/>
  <c r="R32" i="85"/>
  <c r="S32" i="85" s="1"/>
  <c r="U32" i="85" s="1"/>
  <c r="R28" i="85"/>
  <c r="S28" i="85" s="1"/>
  <c r="U31" i="86"/>
  <c r="T31" i="86"/>
  <c r="T33" i="71"/>
  <c r="V33" i="71"/>
  <c r="T17" i="6"/>
  <c r="T9" i="6" s="1"/>
  <c r="R26" i="6"/>
  <c r="S26" i="6" s="1"/>
  <c r="U26" i="6" s="1"/>
  <c r="R28" i="6"/>
  <c r="S28" i="6" s="1"/>
  <c r="R32" i="6"/>
  <c r="S32" i="6" s="1"/>
  <c r="U32" i="6" s="1"/>
  <c r="U17" i="3"/>
  <c r="R29" i="3"/>
  <c r="S29" i="3" s="1"/>
  <c r="V29" i="3" s="1"/>
  <c r="U17" i="85"/>
  <c r="U9" i="85" s="1"/>
  <c r="R29" i="85"/>
  <c r="S29" i="85" s="1"/>
  <c r="V29" i="85" s="1"/>
  <c r="V33" i="86"/>
  <c r="T33" i="86"/>
  <c r="U25" i="71"/>
  <c r="T25" i="71"/>
  <c r="S17" i="3"/>
  <c r="S9" i="3" s="1"/>
  <c r="R33" i="3"/>
  <c r="S33" i="3" s="1"/>
  <c r="R31" i="3"/>
  <c r="S31" i="3" s="1"/>
  <c r="R24" i="3"/>
  <c r="S24" i="3" s="1"/>
  <c r="T24" i="3" s="1"/>
  <c r="R30" i="3"/>
  <c r="S30" i="3" s="1"/>
  <c r="T30" i="3" s="1"/>
  <c r="R27" i="3"/>
  <c r="S27" i="3" s="1"/>
  <c r="R25" i="3"/>
  <c r="S25" i="3" s="1"/>
  <c r="T17" i="4"/>
  <c r="R28" i="4"/>
  <c r="S28" i="4" s="1"/>
  <c r="R26" i="4"/>
  <c r="S26" i="4" s="1"/>
  <c r="U26" i="4" s="1"/>
  <c r="R32" i="4"/>
  <c r="S32" i="4" s="1"/>
  <c r="U32" i="4" s="1"/>
  <c r="S17" i="85"/>
  <c r="S9" i="85" s="1"/>
  <c r="R27" i="85"/>
  <c r="S27" i="85" s="1"/>
  <c r="R25" i="85"/>
  <c r="S25" i="85" s="1"/>
  <c r="R24" i="85"/>
  <c r="S24" i="85" s="1"/>
  <c r="T24" i="85" s="1"/>
  <c r="R33" i="85"/>
  <c r="S33" i="85" s="1"/>
  <c r="R30" i="85"/>
  <c r="S30" i="85" s="1"/>
  <c r="T30" i="85" s="1"/>
  <c r="R31" i="85"/>
  <c r="S31" i="85" s="1"/>
  <c r="U25" i="86"/>
  <c r="T25" i="86"/>
  <c r="V27" i="71"/>
  <c r="T27" i="71"/>
  <c r="T17" i="3"/>
  <c r="R32" i="3"/>
  <c r="S32" i="3" s="1"/>
  <c r="U32" i="3" s="1"/>
  <c r="R28" i="3"/>
  <c r="S28" i="3" s="1"/>
  <c r="R26" i="3"/>
  <c r="S26" i="3" s="1"/>
  <c r="U26" i="3" s="1"/>
  <c r="U17" i="4"/>
  <c r="R29" i="4"/>
  <c r="S29" i="4" s="1"/>
  <c r="V29" i="4" s="1"/>
  <c r="V27" i="86"/>
  <c r="T27" i="86"/>
  <c r="S17" i="4"/>
  <c r="R27" i="4"/>
  <c r="S27" i="4" s="1"/>
  <c r="R24" i="4"/>
  <c r="S24" i="4" s="1"/>
  <c r="T24" i="4" s="1"/>
  <c r="R25" i="4"/>
  <c r="S25" i="4" s="1"/>
  <c r="R33" i="4"/>
  <c r="S33" i="4" s="1"/>
  <c r="R30" i="4"/>
  <c r="S30" i="4" s="1"/>
  <c r="T30" i="4" s="1"/>
  <c r="R31" i="4"/>
  <c r="S31" i="4" s="1"/>
  <c r="U31" i="71"/>
  <c r="T31" i="71"/>
  <c r="T31" i="5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M26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M25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M25" i="86" s="1"/>
  <c r="S23" i="86"/>
  <c r="V23" i="86" s="1"/>
  <c r="M26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M25" i="6" s="1"/>
  <c r="S9" i="6"/>
  <c r="R21" i="6"/>
  <c r="S21" i="6" s="1"/>
  <c r="T21" i="6" s="1"/>
  <c r="M24" i="6" s="1"/>
  <c r="R23" i="6"/>
  <c r="S23" i="6" s="1"/>
  <c r="V23" i="6" s="1"/>
  <c r="M26" i="6" s="1"/>
  <c r="U9" i="6"/>
  <c r="M13" i="86"/>
  <c r="M13" i="4"/>
  <c r="T9" i="4"/>
  <c r="R22" i="4"/>
  <c r="S22" i="4" s="1"/>
  <c r="U22" i="4" s="1"/>
  <c r="M25" i="4" s="1"/>
  <c r="U9" i="4"/>
  <c r="R23" i="4"/>
  <c r="S23" i="4" s="1"/>
  <c r="V23" i="4" s="1"/>
  <c r="M26" i="4" s="1"/>
  <c r="S9" i="4"/>
  <c r="R21" i="4"/>
  <c r="S21" i="4" s="1"/>
  <c r="T21" i="4" s="1"/>
  <c r="M24" i="4" s="1"/>
  <c r="M13" i="85"/>
  <c r="M14" i="3"/>
  <c r="M17" i="3" s="1"/>
  <c r="U9" i="3"/>
  <c r="R23" i="3"/>
  <c r="S23" i="3" s="1"/>
  <c r="V23" i="3" s="1"/>
  <c r="M26" i="3" s="1"/>
  <c r="R21" i="3"/>
  <c r="S21" i="3" s="1"/>
  <c r="T21" i="3" s="1"/>
  <c r="M24" i="3" s="1"/>
  <c r="T9" i="3"/>
  <c r="R22" i="3"/>
  <c r="S22" i="3" s="1"/>
  <c r="U22" i="3" s="1"/>
  <c r="M25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V27" i="6" l="1"/>
  <c r="T27" i="6"/>
  <c r="U28" i="4"/>
  <c r="V28" i="4"/>
  <c r="T33" i="6"/>
  <c r="V33" i="6"/>
  <c r="U31" i="4"/>
  <c r="T31" i="4"/>
  <c r="T27" i="4"/>
  <c r="V27" i="4"/>
  <c r="U28" i="85"/>
  <c r="V28" i="85"/>
  <c r="T27" i="85"/>
  <c r="V27" i="85"/>
  <c r="V33" i="4"/>
  <c r="T33" i="4"/>
  <c r="T25" i="4"/>
  <c r="U25" i="4"/>
  <c r="T25" i="3"/>
  <c r="U25" i="3"/>
  <c r="U25" i="6"/>
  <c r="T25" i="6"/>
  <c r="U28" i="3"/>
  <c r="V28" i="3"/>
  <c r="U31" i="85"/>
  <c r="T31" i="85"/>
  <c r="V27" i="3"/>
  <c r="T27" i="3"/>
  <c r="U31" i="6"/>
  <c r="T31" i="6"/>
  <c r="T33" i="85"/>
  <c r="V33" i="85"/>
  <c r="T31" i="3"/>
  <c r="U31" i="3"/>
  <c r="V28" i="6"/>
  <c r="U28" i="6"/>
  <c r="U25" i="85"/>
  <c r="T25" i="85"/>
  <c r="V33" i="3"/>
  <c r="T33" i="3"/>
  <c r="R25" i="54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C41" i="51" l="1"/>
  <c r="C43" i="51"/>
  <c r="F39" i="5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U27" i="72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U35" i="78" s="1"/>
  <c r="L28" i="78" s="1"/>
  <c r="S33" i="78"/>
  <c r="T33" i="78"/>
  <c r="T25" i="72"/>
  <c r="S25" i="72"/>
  <c r="S31" i="91"/>
  <c r="S26" i="88"/>
  <c r="S27" i="88" s="1"/>
  <c r="V26" i="87"/>
  <c r="T26" i="87"/>
  <c r="S27" i="87"/>
  <c r="S27" i="72" l="1"/>
  <c r="S35" i="78"/>
  <c r="F40" i="51"/>
  <c r="G40" i="51" s="1"/>
  <c r="R30" i="54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C39" i="55" l="1"/>
  <c r="C41" i="55"/>
  <c r="R31" i="54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C41" i="78" l="1"/>
  <c r="C39" i="78"/>
  <c r="T32" i="54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D38" i="87" s="1"/>
  <c r="K38" i="87" s="1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78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<sst xmlns="http://schemas.openxmlformats.org/spreadsheetml/2006/main" count="22006" uniqueCount="11424">
  <si>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</si>
  <si>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</si>
  <si>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</si>
  <si>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</si>
  <si>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</si>
  <si>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</si>
  <si>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</si>
  <si>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</si>
  <si>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</si>
  <si>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</si>
  <si>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</si>
  <si>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</si>
  <si>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</si>
  <si>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</si>
  <si>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</si>
  <si>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</si>
  <si>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</si>
  <si>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</si>
  <si>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</si>
  <si>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</si>
  <si>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</si>
  <si>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</si>
  <si>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</si>
  <si>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</si>
  <si>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</si>
  <si>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</si>
  <si>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</si>
  <si>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</si>
  <si>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</si>
  <si>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</si>
  <si>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</si>
  <si>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</si>
  <si>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</si>
  <si>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</si>
  <si>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</si>
  <si>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</si>
  <si>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</si>
  <si>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</si>
  <si>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</si>
  <si>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</si>
  <si>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</si>
  <si>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</si>
  <si>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</si>
  <si>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</si>
  <si>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</si>
  <si>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</si>
  <si>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</si>
  <si>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</si>
  <si>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</si>
  <si>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</si>
  <si>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</si>
  <si>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</si>
  <si>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</si>
  <si>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</si>
  <si>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</si>
  <si>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</si>
  <si>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</si>
  <si>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</si>
  <si>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</si>
  <si>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</si>
  <si>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</si>
  <si>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</si>
  <si>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</si>
  <si>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</si>
  <si>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</si>
  <si>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</si>
  <si>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</si>
  <si>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</si>
  <si>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</si>
  <si>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</si>
  <si>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</si>
  <si>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</si>
  <si>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</si>
  <si>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</si>
  <si>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</si>
  <si>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</si>
  <si>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</si>
  <si>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</si>
  <si>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</si>
  <si>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</si>
  <si>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</si>
  <si>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</si>
  <si>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</si>
  <si>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</si>
  <si>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</si>
  <si>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</si>
  <si>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</si>
  <si>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</si>
  <si>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</si>
  <si>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</si>
  <si>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</si>
  <si>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</si>
  <si>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</si>
  <si>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</si>
  <si>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</si>
  <si>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</si>
  <si>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</si>
  <si>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</si>
  <si>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</si>
  <si>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</si>
  <si>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</si>
  <si>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</si>
  <si>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</si>
  <si>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</si>
  <si>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</si>
  <si>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</si>
  <si>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</si>
  <si>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</si>
  <si>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</si>
  <si>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</si>
  <si>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</si>
  <si>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</si>
  <si>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</si>
  <si>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</si>
  <si>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</si>
  <si>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</si>
  <si>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</si>
  <si>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</si>
  <si>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</si>
  <si>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</si>
  <si>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</si>
  <si>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</si>
  <si>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</si>
  <si>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</si>
  <si>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</si>
  <si>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</si>
  <si>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</si>
  <si>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</si>
  <si>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</si>
  <si>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</si>
  <si>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</si>
  <si>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</si>
  <si>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</si>
  <si>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</si>
  <si>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</si>
  <si>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</si>
  <si>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</si>
  <si>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</si>
  <si>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</si>
  <si>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</si>
  <si>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</si>
  <si>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</si>
  <si>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</si>
  <si>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</si>
  <si>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</si>
  <si>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</si>
  <si>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</si>
  <si>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</si>
  <si>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</si>
  <si>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</si>
  <si>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</si>
  <si>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</si>
  <si>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</si>
  <si>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</si>
  <si>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</si>
  <si>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</si>
  <si>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</si>
  <si>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</si>
  <si>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</si>
  <si>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</si>
  <si>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</si>
  <si>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</si>
  <si>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</si>
  <si>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</si>
  <si>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</si>
  <si>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</si>
  <si>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</si>
  <si>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</si>
  <si>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</si>
  <si>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</si>
  <si>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</si>
  <si>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</si>
  <si>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</si>
  <si>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</si>
  <si>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</si>
  <si>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</si>
  <si>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</si>
  <si>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</si>
  <si>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</si>
  <si>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</si>
  <si>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</si>
  <si>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</si>
  <si>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</si>
  <si>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</si>
  <si>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</si>
  <si>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</si>
  <si>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</si>
  <si>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</si>
  <si>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</si>
  <si>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</si>
  <si>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</si>
  <si>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</si>
  <si>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</si>
  <si>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</si>
  <si>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</si>
  <si>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</si>
  <si>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</si>
  <si>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</si>
  <si>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</si>
  <si>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</si>
  <si>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</si>
  <si>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</si>
  <si>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</si>
  <si>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</si>
  <si>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</si>
  <si>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</si>
  <si>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</si>
  <si>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</si>
  <si>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</si>
  <si>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</si>
  <si>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</si>
  <si>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</si>
  <si>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</si>
  <si>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</si>
  <si>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</si>
  <si>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</si>
  <si>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</si>
  <si>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</si>
  <si>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</si>
  <si>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</si>
  <si>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</si>
  <si>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</si>
  <si>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</si>
  <si>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</si>
  <si>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</si>
  <si>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</si>
  <si>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</si>
  <si>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</si>
  <si>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</si>
  <si>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</si>
  <si>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</si>
  <si>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</si>
  <si>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</si>
  <si>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</si>
  <si>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</si>
  <si>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</si>
  <si>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</si>
  <si>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</si>
  <si>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</si>
  <si>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</si>
  <si>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</si>
  <si>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</si>
  <si>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</si>
  <si>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</si>
  <si>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</si>
  <si>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</si>
  <si>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</si>
  <si>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</si>
  <si>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</si>
  <si>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</si>
  <si>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</si>
  <si>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</si>
  <si>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</si>
  <si>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</si>
  <si>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</si>
  <si>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</si>
  <si>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</si>
  <si>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</si>
  <si>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</si>
  <si>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</si>
  <si>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</si>
  <si>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</si>
  <si>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</si>
  <si>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</si>
  <si>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</si>
  <si>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</si>
  <si>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</si>
  <si>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</si>
  <si>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</si>
  <si>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</si>
  <si>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</si>
  <si>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</si>
  <si>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</si>
  <si>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</si>
  <si>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</si>
  <si>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</si>
  <si>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</si>
  <si>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</si>
  <si>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</si>
  <si>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</si>
  <si>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</si>
  <si>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</si>
  <si>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</si>
  <si>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</si>
  <si>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</si>
  <si>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</si>
  <si>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</si>
  <si>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</si>
  <si>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</si>
  <si>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</si>
  <si>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</si>
  <si>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</si>
  <si>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</si>
  <si>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</si>
  <si>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</si>
  <si>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</si>
  <si>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</si>
  <si>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</si>
  <si>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</si>
  <si>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</si>
  <si>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</si>
  <si>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</si>
  <si>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</si>
  <si>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</si>
  <si>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</si>
  <si>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</si>
  <si>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</si>
  <si>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</si>
  <si>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</si>
  <si>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</si>
  <si>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</si>
  <si>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</si>
  <si>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</si>
  <si>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</si>
  <si>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</si>
  <si>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</si>
  <si>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</si>
  <si>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</si>
  <si>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</si>
  <si>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</si>
  <si>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</si>
  <si>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</si>
  <si>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</si>
  <si>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</si>
  <si>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</si>
  <si>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</si>
  <si>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</si>
  <si>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</si>
  <si>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</si>
  <si>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</si>
  <si>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</si>
  <si>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</si>
  <si>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</si>
  <si>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</si>
  <si>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</si>
  <si>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</si>
  <si>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</si>
  <si>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</si>
  <si>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</si>
  <si>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</si>
  <si>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</si>
  <si>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</si>
  <si>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</si>
  <si>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</si>
  <si>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</si>
  <si>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</si>
  <si>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</si>
  <si>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</si>
  <si>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</si>
  <si>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</si>
  <si>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</si>
  <si>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</si>
  <si>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</si>
  <si>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</si>
  <si>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</si>
  <si>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</si>
  <si>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</si>
  <si>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</si>
  <si>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</si>
  <si>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</si>
  <si>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</si>
  <si>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</si>
  <si>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</si>
  <si>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</si>
  <si>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</si>
  <si>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</si>
  <si>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</si>
  <si>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</si>
  <si>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</si>
  <si>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</si>
  <si>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</si>
  <si>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</si>
  <si>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</si>
  <si>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</si>
  <si>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</si>
  <si>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</si>
  <si>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</si>
  <si>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</si>
  <si>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</si>
  <si>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</si>
  <si>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</si>
  <si>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</si>
  <si>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</si>
  <si>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</si>
  <si>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</si>
  <si>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</si>
  <si>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</si>
  <si>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</si>
  <si>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</si>
  <si>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</si>
  <si>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</si>
  <si>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</si>
  <si>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</si>
  <si>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</si>
  <si>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</si>
  <si>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</si>
  <si>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</si>
  <si>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</si>
  <si>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</si>
  <si>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</si>
  <si>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</si>
  <si>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</si>
  <si>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</si>
  <si>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</si>
  <si>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</si>
  <si>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</si>
  <si>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</si>
  <si>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</si>
  <si>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</si>
  <si>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</si>
  <si>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</si>
  <si>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</si>
  <si>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</si>
  <si>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</si>
  <si>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</si>
  <si>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</si>
  <si>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</si>
  <si>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</si>
  <si>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</si>
  <si>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</si>
  <si>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</si>
  <si>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</si>
  <si>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</si>
  <si>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</si>
  <si>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</si>
  <si>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</si>
  <si>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</si>
  <si>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</si>
  <si>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</si>
  <si>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</si>
  <si>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</si>
  <si>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</si>
  <si>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</si>
  <si>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</si>
  <si>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</si>
  <si>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</si>
  <si>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</si>
  <si>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</si>
  <si>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</si>
  <si>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</si>
  <si>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</si>
  <si>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</si>
  <si>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</si>
  <si>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</si>
  <si>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</si>
  <si>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</si>
  <si>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</si>
  <si>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</si>
  <si>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</si>
  <si>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</si>
  <si>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</si>
  <si>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</si>
  <si>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</si>
  <si>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</si>
  <si>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</si>
  <si>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</si>
  <si>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</si>
  <si>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</si>
  <si>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</si>
  <si>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</si>
  <si>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</si>
  <si>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</si>
  <si>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</si>
  <si>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</si>
  <si>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</si>
  <si>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</si>
  <si>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</si>
  <si>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</si>
  <si>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</si>
  <si>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</si>
  <si>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</si>
  <si>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</si>
  <si>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</si>
  <si>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</si>
  <si>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</si>
  <si>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</si>
  <si>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</si>
  <si>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</si>
  <si>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</si>
  <si>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</si>
  <si>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</si>
  <si>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</si>
  <si>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</si>
  <si>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</si>
  <si>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</si>
  <si>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</si>
  <si>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</si>
  <si>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</si>
  <si>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</si>
  <si>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</si>
  <si>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</si>
  <si>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</si>
  <si>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</si>
  <si>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</si>
  <si>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</si>
  <si>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</si>
  <si>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</si>
  <si>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</si>
  <si>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</si>
  <si>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</si>
  <si>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</si>
  <si>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</si>
  <si>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</si>
  <si>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</si>
  <si>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</si>
  <si>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</si>
  <si>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</si>
  <si>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</si>
  <si>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</si>
  <si>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</si>
  <si>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</si>
  <si>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</si>
  <si>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</si>
  <si>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</si>
  <si>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</si>
  <si>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</si>
  <si>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</si>
  <si>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</si>
  <si>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</si>
  <si>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</si>
  <si>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</si>
  <si>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</si>
  <si>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</si>
  <si>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</si>
  <si>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</si>
  <si>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</si>
  <si>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</si>
  <si>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</si>
  <si>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</si>
  <si>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</si>
  <si>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</si>
  <si>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</si>
  <si>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</si>
  <si>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</si>
  <si>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</si>
  <si>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</si>
  <si>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</si>
  <si>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</si>
  <si>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</si>
  <si>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</si>
  <si>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</si>
  <si>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</si>
  <si>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</si>
  <si>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</si>
  <si>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</si>
  <si>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</si>
  <si>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</si>
  <si>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</si>
  <si>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</si>
  <si>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</si>
  <si>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</si>
  <si>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</si>
  <si>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</si>
  <si>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</si>
  <si>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</si>
  <si>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</si>
  <si>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</si>
  <si>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</si>
  <si>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</si>
  <si>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</si>
  <si>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</si>
  <si>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</si>
  <si>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</si>
  <si>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</si>
  <si>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</si>
  <si>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</si>
  <si>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</si>
  <si>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</si>
  <si>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</si>
  <si>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</si>
  <si>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</si>
  <si>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</si>
  <si>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</si>
  <si>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</si>
  <si>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</si>
  <si>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</si>
  <si>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</si>
  <si>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</si>
  <si>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</si>
  <si>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</si>
  <si>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</si>
  <si>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</si>
  <si>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</si>
  <si>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</si>
  <si>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</si>
  <si>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</si>
  <si>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</si>
  <si>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</si>
  <si>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</si>
  <si>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</si>
  <si>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</si>
  <si>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</si>
  <si>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</si>
  <si>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</si>
  <si>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</si>
  <si>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</si>
  <si>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</si>
  <si>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</si>
  <si>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</si>
  <si>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</si>
  <si>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</si>
  <si>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</si>
  <si>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</si>
  <si>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</si>
  <si>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</si>
  <si>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</si>
  <si>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</si>
  <si>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</si>
  <si>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</si>
  <si>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</si>
  <si>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</si>
  <si>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</si>
  <si>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</si>
  <si>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</si>
  <si>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</si>
  <si>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</si>
  <si>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</si>
  <si>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</si>
  <si>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</si>
  <si>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</si>
  <si>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</si>
  <si>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</si>
  <si>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</si>
  <si>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</si>
  <si>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</si>
  <si>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</si>
  <si>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</si>
  <si>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</si>
  <si>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</si>
  <si>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</si>
  <si>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</si>
  <si>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</si>
  <si>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</si>
  <si>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</si>
  <si>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</si>
  <si>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</si>
  <si>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</si>
  <si>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</si>
  <si>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</si>
  <si>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</si>
  <si>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</si>
  <si>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</si>
  <si>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</si>
  <si>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</si>
  <si>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</si>
  <si>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</si>
  <si>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</si>
  <si>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</si>
  <si>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</si>
  <si>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</si>
  <si>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</si>
  <si>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</si>
  <si>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</si>
  <si>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</si>
  <si>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</si>
  <si>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</si>
  <si>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</si>
  <si>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</si>
  <si>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</si>
  <si>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</si>
  <si>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</si>
  <si>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</si>
  <si>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</si>
  <si>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</si>
  <si>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</si>
  <si>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</si>
  <si>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</si>
  <si>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</si>
  <si>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</si>
  <si>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</si>
  <si>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</si>
  <si>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</si>
  <si>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</si>
  <si>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</si>
  <si>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</si>
  <si>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</si>
  <si>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</si>
  <si>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</si>
  <si>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</si>
  <si>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</si>
  <si>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</si>
  <si>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</si>
  <si>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</si>
  <si>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</si>
  <si>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</si>
  <si>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</si>
  <si>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</si>
  <si>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</si>
  <si>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</si>
  <si>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</si>
  <si>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</si>
  <si>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</si>
  <si>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</si>
  <si>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</si>
  <si>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</si>
  <si>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</si>
  <si>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</si>
  <si>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</si>
  <si>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</si>
  <si>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</si>
  <si>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</si>
  <si>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</si>
  <si>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</si>
  <si>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</si>
  <si>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</si>
  <si>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</si>
  <si>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</si>
  <si>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</si>
  <si>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</si>
  <si>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</si>
  <si>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</si>
  <si>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</si>
  <si>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</si>
  <si>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</si>
  <si>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</si>
  <si>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</si>
  <si>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</si>
  <si>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</si>
  <si>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</si>
  <si>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</si>
  <si>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</si>
  <si>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</si>
  <si>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</si>
  <si>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</si>
  <si>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</si>
  <si>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</si>
  <si>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</si>
  <si>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</si>
  <si>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</si>
  <si>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</si>
  <si>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</si>
  <si>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</si>
  <si>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</si>
  <si>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</si>
  <si>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</si>
  <si>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</si>
  <si>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</si>
  <si>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</si>
  <si>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</si>
  <si>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</si>
  <si>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</si>
  <si>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</si>
  <si>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</si>
  <si>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</si>
  <si>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</si>
  <si>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</si>
  <si>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</si>
  <si>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</si>
  <si>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</si>
  <si>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</si>
  <si>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</si>
  <si>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</si>
  <si>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</si>
  <si>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</si>
  <si>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</si>
  <si>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</si>
  <si>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</si>
  <si>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</si>
  <si>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</si>
  <si>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</si>
  <si>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</si>
  <si>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</si>
  <si>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</si>
  <si>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</si>
  <si>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</si>
  <si>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</si>
  <si>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</si>
  <si>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</si>
  <si>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</si>
  <si>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</si>
  <si>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</si>
  <si>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</si>
  <si>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</si>
  <si>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</si>
  <si>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</si>
  <si>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</si>
  <si>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</si>
  <si>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</si>
  <si>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</si>
  <si>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</si>
  <si>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</si>
  <si>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</si>
  <si>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</si>
  <si>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</si>
  <si>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</si>
  <si>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</si>
  <si>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</si>
  <si>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</si>
  <si>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</si>
  <si>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</si>
  <si>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</si>
  <si>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</si>
  <si>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</si>
  <si>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</si>
  <si>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</si>
  <si>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</si>
  <si>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</si>
  <si>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</si>
  <si>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</si>
  <si>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</si>
  <si>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</si>
  <si>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</si>
  <si>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</si>
  <si>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</si>
  <si>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</si>
  <si>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</si>
  <si>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</si>
  <si>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</si>
  <si>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</si>
  <si>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</si>
  <si>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</si>
  <si>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</si>
  <si>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</si>
  <si>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</si>
  <si>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</si>
  <si>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</si>
  <si>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</si>
  <si>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</si>
  <si>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</si>
  <si>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</si>
  <si>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</si>
  <si>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</si>
  <si>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</si>
  <si>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</si>
  <si>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</si>
  <si>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</si>
  <si>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</si>
  <si>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</si>
  <si>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</si>
  <si>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</si>
  <si>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</si>
  <si>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</si>
  <si>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</si>
  <si>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</si>
  <si>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</si>
  <si>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</si>
  <si>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</si>
  <si>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</si>
  <si>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</si>
  <si>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</si>
  <si>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</si>
  <si>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</si>
  <si>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</si>
  <si>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</si>
  <si>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</si>
  <si>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</si>
  <si>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</si>
  <si>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</si>
  <si>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</si>
  <si>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</si>
  <si>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</si>
  <si>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</si>
  <si>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</si>
  <si>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</si>
  <si>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</si>
  <si>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</si>
  <si>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</si>
  <si>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</si>
  <si>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</si>
  <si>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</si>
  <si>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</si>
  <si>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</si>
  <si>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</si>
  <si>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</si>
  <si>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</si>
  <si>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</si>
  <si>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</si>
  <si>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</si>
  <si>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</si>
  <si>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</si>
  <si>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</si>
  <si>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</si>
  <si>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</si>
  <si>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</si>
  <si>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</si>
  <si>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</si>
  <si>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</si>
  <si>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</si>
  <si>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</si>
  <si>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</si>
  <si>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</si>
  <si>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</si>
  <si>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</si>
  <si>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</si>
  <si>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</si>
  <si>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</si>
  <si>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</si>
  <si>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</si>
  <si>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</si>
  <si>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</si>
  <si>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</si>
  <si>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</si>
  <si>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</si>
  <si>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</si>
  <si>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</si>
  <si>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</si>
  <si>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</si>
  <si>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</si>
  <si>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</si>
  <si>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</si>
  <si>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</si>
  <si>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</si>
  <si>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</si>
  <si>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</si>
  <si>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</si>
  <si>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</si>
  <si>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</si>
  <si>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</si>
  <si>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</si>
  <si>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</si>
  <si>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</si>
  <si>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</si>
  <si>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</si>
  <si>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</si>
  <si>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</si>
  <si>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</si>
  <si>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</si>
  <si>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</si>
  <si>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</si>
  <si>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</si>
  <si>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</si>
  <si>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</si>
  <si>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</si>
  <si>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</si>
  <si>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</si>
  <si>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</si>
  <si>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</si>
  <si>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</si>
  <si>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</si>
  <si>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</si>
  <si>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</si>
  <si>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</si>
  <si>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</si>
  <si>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</si>
  <si>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</si>
  <si>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</si>
  <si>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</si>
  <si>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</si>
  <si>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</si>
  <si>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</si>
  <si>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</si>
  <si>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</si>
  <si>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</si>
  <si>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</si>
  <si>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</si>
  <si>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</si>
  <si>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</si>
  <si>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</si>
  <si>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</si>
  <si>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</si>
  <si>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</si>
  <si>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</si>
  <si>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</si>
  <si>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</si>
  <si>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</si>
  <si>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</si>
  <si>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</si>
  <si>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</si>
  <si>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</si>
  <si>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</si>
  <si>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</si>
  <si>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</si>
  <si>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</si>
  <si>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</si>
  <si>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</si>
  <si>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</si>
  <si>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</si>
  <si>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</si>
  <si>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</si>
  <si>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</si>
  <si>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</si>
  <si>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</si>
  <si>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</si>
  <si>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</si>
  <si>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</si>
  <si>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</si>
  <si>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</si>
  <si>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</si>
  <si>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</si>
  <si>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</si>
  <si>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</si>
  <si>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</si>
  <si>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</si>
  <si>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</si>
  <si>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</si>
  <si>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</si>
  <si>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</si>
  <si>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</si>
  <si>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</si>
  <si>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</si>
  <si>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</si>
  <si>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</si>
  <si>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</si>
  <si>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</si>
  <si>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</si>
  <si>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</si>
  <si>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</si>
  <si>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</si>
  <si>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</si>
  <si>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</si>
  <si>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</si>
  <si>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</si>
  <si>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</si>
  <si>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</si>
  <si>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</si>
  <si>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</si>
  <si>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</si>
  <si>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</si>
  <si>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</si>
  <si>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</si>
  <si>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</si>
  <si>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</si>
  <si>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</si>
  <si>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</si>
  <si>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</si>
  <si>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</si>
  <si>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</si>
  <si>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</si>
  <si>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</si>
  <si>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</si>
  <si>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</si>
  <si>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</si>
  <si>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</si>
  <si>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</si>
  <si>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</si>
  <si>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</si>
  <si>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</si>
  <si>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</si>
  <si>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</si>
  <si>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</si>
  <si>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</si>
  <si>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</si>
  <si>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</si>
  <si>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</si>
  <si>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</si>
  <si>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</si>
  <si>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</si>
  <si>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</si>
  <si>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</si>
  <si>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</si>
  <si>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</si>
  <si>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</si>
  <si>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</si>
  <si>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</si>
  <si>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</si>
  <si>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</si>
  <si>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</si>
  <si>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</si>
  <si>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</si>
  <si>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</si>
  <si>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</si>
  <si>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</si>
  <si>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</si>
  <si>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</si>
  <si>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</si>
  <si>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</si>
  <si>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</si>
  <si>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</si>
  <si>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</si>
  <si>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</si>
  <si>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</si>
  <si>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</si>
  <si>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</si>
  <si>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</si>
  <si>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</si>
  <si>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</si>
  <si>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</si>
  <si>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</si>
  <si>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</si>
  <si>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</si>
  <si>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</si>
  <si>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</si>
  <si>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</si>
  <si>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</si>
  <si>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</si>
  <si>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</si>
  <si>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</si>
  <si>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</si>
  <si>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</si>
  <si>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</si>
  <si>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</si>
  <si>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</si>
  <si>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</si>
  <si>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</si>
  <si>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</si>
  <si>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</si>
  <si>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</si>
  <si>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</si>
  <si>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</si>
  <si>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</si>
  <si>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</si>
  <si>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</si>
  <si>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</si>
  <si>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</si>
  <si>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</si>
  <si>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</si>
  <si>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</si>
  <si>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</si>
  <si>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</si>
  <si>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</si>
  <si>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</si>
  <si>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</si>
  <si>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</si>
  <si>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</si>
  <si>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</si>
  <si>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</si>
  <si>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</si>
  <si>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</si>
  <si>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</si>
  <si>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</si>
  <si>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</si>
  <si>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</si>
  <si>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</si>
  <si>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</si>
  <si>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</si>
  <si>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</si>
  <si>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</si>
  <si>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</si>
  <si>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</si>
  <si>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</si>
  <si>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</si>
  <si>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</si>
  <si>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</si>
  <si>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</si>
  <si>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</si>
  <si>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</si>
  <si>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</si>
  <si>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</si>
  <si>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</si>
  <si>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</si>
  <si>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</si>
  <si>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</si>
  <si>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</si>
  <si>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</si>
  <si>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</si>
  <si>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</si>
  <si>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</si>
  <si>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</si>
  <si>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</si>
  <si>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</si>
  <si>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</si>
  <si>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</si>
  <si>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</si>
  <si>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</si>
  <si>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</si>
  <si>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</si>
  <si>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</si>
  <si>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</si>
  <si>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</si>
  <si>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</si>
  <si>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</si>
  <si>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</si>
  <si>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</si>
  <si>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</si>
  <si>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</si>
  <si>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</si>
  <si>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</si>
  <si>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</si>
  <si>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</si>
  <si>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</si>
  <si>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</si>
  <si>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</si>
  <si>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</si>
  <si>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</si>
  <si>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</si>
  <si>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</si>
  <si>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</si>
  <si>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</si>
  <si>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</si>
  <si>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</si>
  <si>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</si>
  <si>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</si>
  <si>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</si>
  <si>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</si>
  <si>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</si>
  <si>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</si>
  <si>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</si>
  <si>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</si>
  <si>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</si>
  <si>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</si>
  <si>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</si>
  <si>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</si>
  <si>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</si>
  <si>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</si>
  <si>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</si>
  <si>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</si>
  <si>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</si>
  <si>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</si>
  <si>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</si>
  <si>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</si>
  <si>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</si>
  <si>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</si>
  <si>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</si>
  <si>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</si>
  <si>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</si>
  <si>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</si>
  <si>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</si>
  <si>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</si>
  <si>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</si>
  <si>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</si>
  <si>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</si>
  <si>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</si>
  <si>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</si>
  <si>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</si>
  <si>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</si>
  <si>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</si>
  <si>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</si>
  <si>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</si>
  <si>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</si>
  <si>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</si>
  <si>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</si>
  <si>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</si>
  <si>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</si>
  <si>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</si>
  <si>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</si>
  <si>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</si>
  <si>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</si>
  <si>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</si>
  <si>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</si>
  <si>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</si>
  <si>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</si>
  <si>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</si>
  <si>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</si>
  <si>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</si>
  <si>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</si>
  <si>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</si>
  <si>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</si>
  <si>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</si>
  <si>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</si>
  <si>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</si>
  <si>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</si>
  <si>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</si>
  <si>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</si>
  <si>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</si>
  <si>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</si>
  <si>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</si>
  <si>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</si>
  <si>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</si>
  <si>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</si>
  <si>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</si>
  <si>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</si>
  <si>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</si>
  <si>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</si>
  <si>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</si>
  <si>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</si>
  <si>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</si>
  <si>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</si>
  <si>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</si>
  <si>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</si>
  <si>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</si>
  <si>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</si>
  <si>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</si>
  <si>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</si>
  <si>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</si>
  <si>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</si>
  <si>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</si>
  <si>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</si>
  <si>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</si>
  <si>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</si>
  <si>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</si>
  <si>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</si>
  <si>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</si>
  <si>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</si>
  <si>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</si>
  <si>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</si>
  <si>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</si>
  <si>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</si>
  <si>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</si>
  <si>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</si>
  <si>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</si>
  <si>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</si>
  <si>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</si>
  <si>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</si>
  <si>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</si>
  <si>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</si>
  <si>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</si>
  <si>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</si>
  <si>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</si>
  <si>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</si>
  <si>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</si>
  <si>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</si>
  <si>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</si>
  <si>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</si>
  <si>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</si>
  <si>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</si>
  <si>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</si>
  <si>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</si>
  <si>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</si>
  <si>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</si>
  <si>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</si>
  <si>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</si>
  <si>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</si>
  <si>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</si>
  <si>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</si>
  <si>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</si>
  <si>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</si>
  <si>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</si>
  <si>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</si>
  <si>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</si>
  <si>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</si>
  <si>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</si>
  <si>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</si>
  <si>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</si>
  <si>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</si>
  <si>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</si>
  <si>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</si>
  <si>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</si>
  <si>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</si>
  <si>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</si>
  <si>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</si>
  <si>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</si>
  <si>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</si>
  <si>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</si>
  <si>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</si>
  <si>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</si>
  <si>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</si>
  <si>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</si>
  <si>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</si>
  <si>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</si>
  <si>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</si>
  <si>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</si>
  <si>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</si>
  <si>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</si>
  <si>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</si>
  <si>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</si>
  <si>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</si>
  <si>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</si>
  <si>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</si>
  <si>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</si>
  <si>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</si>
  <si>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</si>
  <si>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</si>
  <si>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</si>
  <si>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</si>
  <si>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</si>
  <si>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</si>
  <si>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</si>
  <si>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</si>
  <si>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</si>
  <si>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</si>
  <si>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</si>
  <si>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</si>
  <si>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</si>
  <si>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</si>
  <si>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</si>
  <si>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</si>
  <si>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</si>
  <si>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</si>
  <si>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</si>
  <si>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</si>
  <si>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</si>
  <si>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</si>
  <si>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</si>
  <si>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</si>
  <si>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</si>
  <si>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</si>
  <si>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</si>
  <si>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</si>
  <si>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</si>
  <si>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</si>
  <si>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</si>
  <si>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</si>
  <si>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</si>
  <si>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</si>
  <si>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</si>
  <si>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</si>
  <si>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</si>
  <si>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</si>
  <si>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</si>
  <si>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</si>
  <si>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</si>
  <si>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</si>
  <si>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</si>
  <si>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</si>
  <si>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</si>
  <si>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</si>
  <si>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</si>
  <si>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</si>
  <si>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</si>
  <si>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</si>
  <si>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</si>
  <si>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</si>
  <si>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</si>
  <si>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</si>
  <si>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</si>
  <si>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</si>
  <si>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</si>
  <si>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</si>
  <si>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</si>
  <si>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</si>
  <si>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</si>
  <si>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</si>
  <si>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</si>
  <si>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</si>
  <si>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</si>
  <si>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</si>
  <si>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</si>
  <si>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</si>
  <si>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</si>
  <si>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</si>
  <si>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</si>
  <si>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</si>
  <si>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</si>
  <si>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</si>
  <si>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</si>
  <si>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</si>
  <si>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</si>
  <si>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</si>
  <si>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</si>
  <si>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</si>
  <si>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</si>
  <si>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</si>
  <si>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</si>
  <si>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</si>
  <si>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</si>
  <si>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</si>
  <si>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</si>
  <si>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</si>
  <si>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</si>
  <si>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</si>
  <si>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</si>
  <si>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</si>
  <si>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</si>
  <si>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</si>
  <si>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</si>
  <si>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</si>
  <si>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</si>
  <si>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</si>
  <si>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</si>
  <si>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</si>
  <si>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</si>
  <si>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</si>
  <si>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</si>
  <si>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</si>
  <si>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</si>
  <si>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</si>
  <si>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</si>
  <si>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</si>
  <si>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</si>
  <si>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</si>
  <si>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</si>
  <si>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</si>
  <si>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</si>
  <si>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</si>
  <si>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</si>
  <si>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</si>
  <si>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</si>
  <si>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</si>
  <si>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</si>
  <si>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</si>
  <si>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</si>
  <si>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</si>
  <si>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</si>
  <si>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</si>
  <si>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</si>
  <si>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</si>
  <si>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</si>
  <si>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</si>
  <si>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</si>
  <si>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</si>
  <si>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</si>
  <si>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</si>
  <si>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</si>
  <si>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</si>
  <si>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</si>
  <si>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</si>
  <si>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</si>
  <si>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</si>
  <si>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</si>
  <si>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</si>
  <si>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</si>
  <si>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</si>
  <si>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</si>
  <si>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</si>
  <si>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</si>
  <si>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</si>
  <si>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</si>
  <si>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</si>
  <si>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</si>
  <si>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</si>
  <si>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</si>
  <si>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</si>
  <si>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</si>
  <si>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</si>
  <si>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</si>
  <si>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</si>
  <si>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</si>
  <si>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</si>
  <si>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</si>
  <si>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</si>
  <si>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</si>
  <si>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</si>
  <si>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</si>
  <si>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</si>
  <si>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</si>
  <si>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</si>
  <si>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</si>
  <si>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</si>
  <si>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</si>
  <si>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</si>
  <si>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</si>
  <si>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</si>
  <si>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</si>
  <si>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</si>
  <si>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</si>
  <si>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</si>
  <si>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</si>
  <si>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</si>
  <si>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</si>
  <si>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</si>
  <si>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</si>
  <si>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</si>
  <si>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</si>
  <si>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</si>
  <si>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</si>
  <si>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</si>
  <si>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</si>
  <si>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</si>
  <si>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</si>
  <si>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</si>
  <si>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</si>
  <si>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</si>
  <si>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</si>
  <si>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</si>
  <si>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</si>
  <si>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</si>
  <si>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</si>
  <si>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</si>
  <si>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</si>
  <si>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</si>
  <si>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</si>
  <si>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</si>
  <si>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</si>
  <si>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</si>
  <si>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</si>
  <si>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</si>
  <si>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</si>
  <si>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</si>
  <si>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</si>
  <si>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</si>
  <si>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</si>
  <si>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</si>
  <si>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</si>
  <si>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</si>
  <si>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</si>
  <si>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</si>
  <si>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</si>
  <si>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</si>
  <si>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</si>
  <si>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</si>
  <si>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</si>
  <si>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</si>
  <si>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</si>
  <si>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</si>
  <si>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</si>
  <si>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</si>
  <si>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</si>
  <si>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</si>
  <si>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</si>
  <si>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</si>
  <si>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</si>
  <si>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</si>
  <si>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</si>
  <si>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</si>
  <si>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</si>
  <si>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</si>
  <si>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</si>
  <si>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</si>
  <si>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</si>
  <si>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</si>
  <si>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</si>
  <si>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</si>
  <si>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</si>
  <si>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</si>
  <si>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</si>
  <si>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</si>
  <si>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</si>
  <si>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</si>
  <si>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</si>
  <si>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</si>
  <si>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</si>
  <si>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</si>
  <si>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</si>
  <si>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</si>
  <si>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</si>
  <si>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</si>
  <si>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</si>
  <si>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</si>
  <si>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</si>
  <si>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</si>
  <si>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</si>
  <si>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</si>
  <si>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</si>
  <si>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</si>
  <si>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</si>
  <si>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</si>
  <si>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</si>
  <si>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</si>
  <si>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</si>
  <si>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</si>
  <si>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</si>
  <si>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</si>
  <si>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</si>
  <si>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</si>
  <si>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</si>
  <si>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</si>
  <si>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</si>
  <si>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</si>
  <si>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</si>
  <si>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</si>
  <si>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</si>
  <si>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</si>
  <si>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</si>
  <si>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</si>
  <si>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</si>
  <si>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</si>
  <si>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</si>
  <si>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</si>
  <si>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</si>
  <si>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</si>
  <si>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</si>
  <si>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</si>
  <si>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</si>
  <si>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</si>
  <si>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</si>
  <si>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</si>
  <si>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</si>
  <si>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</si>
  <si>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</si>
  <si>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</si>
  <si>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</si>
  <si>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</si>
  <si>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</si>
  <si>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</si>
  <si>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</si>
  <si>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</si>
  <si>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</si>
  <si>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</si>
  <si>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</si>
  <si>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</si>
  <si>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</si>
  <si>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</si>
  <si>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</si>
  <si>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</si>
  <si>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</si>
  <si>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</si>
  <si>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</si>
  <si>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</si>
  <si>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</si>
  <si>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</si>
  <si>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</si>
  <si>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</si>
  <si>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</si>
  <si>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</si>
  <si>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</si>
  <si>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</si>
  <si>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</si>
  <si>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</si>
  <si>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</si>
  <si>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</si>
  <si>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</si>
  <si>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</si>
  <si>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</si>
  <si>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</si>
  <si>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</si>
  <si>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</si>
  <si>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</si>
  <si>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</si>
  <si>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</si>
  <si>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</si>
  <si>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</si>
  <si>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</si>
  <si>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</si>
  <si>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</si>
  <si>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</si>
  <si>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</si>
  <si>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</si>
  <si>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</si>
  <si>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</si>
  <si>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</si>
  <si>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</si>
  <si>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</si>
  <si>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</si>
  <si>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</si>
  <si>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</si>
  <si>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</si>
  <si>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</si>
  <si>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</si>
  <si>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</si>
  <si>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</si>
  <si>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</si>
  <si>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</si>
  <si>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</si>
  <si>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</si>
  <si>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</si>
  <si>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</si>
  <si>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</si>
  <si>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</si>
  <si>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</si>
  <si>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</si>
  <si>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</si>
  <si>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</si>
  <si>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</si>
  <si>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</si>
  <si>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</si>
  <si>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</si>
  <si>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</si>
  <si>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</si>
  <si>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</si>
  <si>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</si>
  <si>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</si>
  <si>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</si>
  <si>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</si>
  <si>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</si>
  <si>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</si>
  <si>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</si>
  <si>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</si>
  <si>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</si>
  <si>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</si>
  <si>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</si>
  <si>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</si>
  <si>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</si>
  <si>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</si>
  <si>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</si>
  <si>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</si>
  <si>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</si>
  <si>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</si>
  <si>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</si>
  <si>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</si>
  <si>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</si>
  <si>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</si>
  <si>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</si>
  <si>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</si>
  <si>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</si>
  <si>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</si>
  <si>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</si>
  <si>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</si>
  <si>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</si>
  <si>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</si>
  <si>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</si>
  <si>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</si>
  <si>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</si>
  <si>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</si>
  <si>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</si>
  <si>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</si>
  <si>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</si>
  <si>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</si>
  <si>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</si>
  <si>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</si>
  <si>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</si>
  <si>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</si>
  <si>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</si>
  <si>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</si>
  <si>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</si>
  <si>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</si>
  <si>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</si>
  <si>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</si>
  <si>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</si>
  <si>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</si>
  <si>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</si>
  <si>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</si>
  <si>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</si>
  <si>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</si>
  <si>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</si>
  <si>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</si>
  <si>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</si>
  <si>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</si>
  <si>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</si>
  <si>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</si>
  <si>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</si>
  <si>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</si>
  <si>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</si>
  <si>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</si>
  <si>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</si>
  <si>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</si>
  <si>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</si>
  <si>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</si>
  <si>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</si>
  <si>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</si>
  <si>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</si>
  <si>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</si>
  <si>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</si>
  <si>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</si>
  <si>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</si>
  <si>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</si>
  <si>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</si>
  <si>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</si>
  <si>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</si>
  <si>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</si>
  <si>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</si>
  <si>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</si>
  <si>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</si>
  <si>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</si>
  <si>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</si>
  <si>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</si>
  <si>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</si>
  <si>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</si>
  <si>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</si>
  <si>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</si>
  <si>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</si>
  <si>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</si>
  <si>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</si>
  <si>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</si>
  <si>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</si>
  <si>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</si>
  <si>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</si>
  <si>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</si>
  <si>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</si>
  <si>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</si>
  <si>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</si>
  <si>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</si>
  <si>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</si>
  <si>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</si>
  <si>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</si>
  <si>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</si>
  <si>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</si>
  <si>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</si>
  <si>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</si>
  <si>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</si>
  <si>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</si>
  <si>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</si>
  <si>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</si>
  <si>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</si>
  <si>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</si>
  <si>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</si>
  <si>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</si>
  <si>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</si>
  <si>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</si>
  <si>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</si>
  <si>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</si>
  <si>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</si>
  <si>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</si>
  <si>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</si>
  <si>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</si>
  <si>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</si>
  <si>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</si>
  <si>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</si>
  <si>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</si>
  <si>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</si>
  <si>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</si>
  <si>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</si>
  <si>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</si>
  <si>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</si>
  <si>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</si>
  <si>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</si>
  <si>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</si>
  <si>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</si>
  <si>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</si>
  <si>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</si>
  <si>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</si>
  <si>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</si>
  <si>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</si>
  <si>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</si>
  <si>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</si>
  <si>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</si>
  <si>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</si>
  <si>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</si>
  <si>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</si>
  <si>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</si>
  <si>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</si>
  <si>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</si>
  <si>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</si>
  <si>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</si>
  <si>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</si>
  <si>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</si>
  <si>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</si>
  <si>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</si>
  <si>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</si>
  <si>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</si>
  <si>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</si>
  <si>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</si>
  <si>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</si>
  <si>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</si>
  <si>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</si>
  <si>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</si>
  <si>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</si>
  <si>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</si>
  <si>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</si>
  <si>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</si>
  <si>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</si>
  <si>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</si>
  <si>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</si>
  <si>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</si>
  <si>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</si>
  <si>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</si>
  <si>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</si>
  <si>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</si>
  <si>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</si>
  <si>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</si>
  <si>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</si>
  <si>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</si>
  <si>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</si>
  <si>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</si>
  <si>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</si>
  <si>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</si>
  <si>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</si>
  <si>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</si>
  <si>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</si>
  <si>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</si>
  <si>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</si>
  <si>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</si>
  <si>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</si>
  <si>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</si>
  <si>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</si>
  <si>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</si>
  <si>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</si>
  <si>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</si>
  <si>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</si>
  <si>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</si>
  <si>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</si>
  <si>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</si>
  <si>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</si>
  <si>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</si>
  <si>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</si>
  <si>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</si>
  <si>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</si>
  <si>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</si>
  <si>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</si>
  <si>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</si>
  <si>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</si>
  <si>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</si>
  <si>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</si>
  <si>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</si>
  <si>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</si>
  <si>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</si>
  <si>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</si>
  <si>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</si>
  <si>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</si>
  <si>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</si>
  <si>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</si>
  <si>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</si>
  <si>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</si>
  <si>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</si>
  <si>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</si>
  <si>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</si>
  <si>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</si>
  <si>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</si>
  <si>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</si>
  <si>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</si>
  <si>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</si>
  <si>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</si>
  <si>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</si>
  <si>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</si>
  <si>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</si>
  <si>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</si>
  <si>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</si>
  <si>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</si>
  <si>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</si>
  <si>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</si>
  <si>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</si>
  <si>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</si>
  <si>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</si>
  <si>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</si>
  <si>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</si>
  <si>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</si>
  <si>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</si>
  <si>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</si>
  <si>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</si>
  <si>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</si>
  <si>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</si>
  <si>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</si>
  <si>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</si>
  <si>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</si>
  <si>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</si>
  <si>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</si>
  <si>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</si>
  <si>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</si>
  <si>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</si>
  <si>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</si>
  <si>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</si>
  <si>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</si>
  <si>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</si>
  <si>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</si>
  <si>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</si>
  <si>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</si>
  <si>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</si>
  <si>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</si>
  <si>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</si>
  <si>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</si>
  <si>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</si>
  <si>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</si>
  <si>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</si>
  <si>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</si>
  <si>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</si>
  <si>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</si>
  <si>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</si>
  <si>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</si>
  <si>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</si>
  <si>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</si>
  <si>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</si>
  <si>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</si>
  <si>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</si>
  <si>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</si>
  <si>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</si>
  <si>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</si>
  <si>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</si>
  <si>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</si>
  <si>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</si>
  <si>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</si>
  <si>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</si>
  <si>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</si>
  <si>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</si>
  <si>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</si>
  <si>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</si>
  <si>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</si>
  <si>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</si>
  <si>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</si>
  <si>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</si>
  <si>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</si>
  <si>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</si>
  <si>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</si>
  <si>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</si>
  <si>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</si>
  <si>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</si>
  <si>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</si>
  <si>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</si>
  <si>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</si>
  <si>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</si>
  <si>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</si>
  <si>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</si>
  <si>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</si>
  <si>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</si>
  <si>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</si>
  <si>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</si>
  <si>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</si>
  <si>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</si>
  <si>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</si>
  <si>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</si>
  <si>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</si>
  <si>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</si>
  <si>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</si>
  <si>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</si>
  <si>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</si>
  <si>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</si>
  <si>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</si>
  <si>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</si>
  <si>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</si>
  <si>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</si>
  <si>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</si>
  <si>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</si>
  <si>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</si>
  <si>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</si>
  <si>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</si>
  <si>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</si>
  <si>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</si>
  <si>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</si>
  <si>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</si>
  <si>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</si>
  <si>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</si>
  <si>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</si>
  <si>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</si>
  <si>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</si>
  <si>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</si>
  <si>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</si>
  <si>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</si>
  <si>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</si>
  <si>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</si>
  <si>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</si>
  <si>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</si>
  <si>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</si>
  <si>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</si>
  <si>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</si>
  <si>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</si>
  <si>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</si>
  <si>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</si>
  <si>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</si>
  <si>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</si>
  <si>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</si>
  <si>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</si>
  <si>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</si>
  <si>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</si>
  <si>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</si>
  <si>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</si>
  <si>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</si>
  <si>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</si>
  <si>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</si>
  <si>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</si>
  <si>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</si>
  <si>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</si>
  <si>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</si>
  <si>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</si>
  <si>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</si>
  <si>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</si>
  <si>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</si>
  <si>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</si>
  <si>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</si>
  <si>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</si>
  <si>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</si>
  <si>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</si>
  <si>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</si>
  <si>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</si>
  <si>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</si>
  <si>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</si>
  <si>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</si>
  <si>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</si>
  <si>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</si>
  <si>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</si>
  <si>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</si>
  <si>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</si>
  <si>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</si>
  <si>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</si>
  <si>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</si>
  <si>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</si>
  <si>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</si>
  <si>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</si>
  <si>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</si>
  <si>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</si>
  <si>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</si>
  <si>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</si>
  <si>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</si>
  <si>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</si>
  <si>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</si>
  <si>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</si>
  <si>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</si>
  <si>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</si>
  <si>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</si>
  <si>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</si>
  <si>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</si>
  <si>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</si>
  <si>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</si>
  <si>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</si>
  <si>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</si>
  <si>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</si>
  <si>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</si>
  <si>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</si>
  <si>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</si>
  <si>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</si>
  <si>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</si>
  <si>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</si>
  <si>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</si>
  <si>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</si>
  <si>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</si>
  <si>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</si>
  <si>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</si>
  <si>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</si>
  <si>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</si>
  <si>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</si>
  <si>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</si>
  <si>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</si>
  <si>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</si>
  <si>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</si>
  <si>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</si>
  <si>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</si>
  <si>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</si>
  <si>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</si>
  <si>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</si>
  <si>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</si>
  <si>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</si>
  <si>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</si>
  <si>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</si>
  <si>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</si>
  <si>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</si>
  <si>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</si>
  <si>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</si>
  <si>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</si>
  <si>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</si>
  <si>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</si>
  <si>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</si>
  <si>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</si>
  <si>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</si>
  <si>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</si>
  <si>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</si>
  <si>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</si>
  <si>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</si>
  <si>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</si>
  <si>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</si>
  <si>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</si>
  <si>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</si>
  <si>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</si>
  <si>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</si>
  <si>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</si>
  <si>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</si>
  <si>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</si>
  <si>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</si>
  <si>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</si>
  <si>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</si>
  <si>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</si>
  <si>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</si>
  <si>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</si>
  <si>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</si>
  <si>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</si>
  <si>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</si>
  <si>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</si>
  <si>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</si>
  <si>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</si>
  <si>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</si>
  <si>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</si>
  <si>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</si>
  <si>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</si>
  <si>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</si>
  <si>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</si>
  <si>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</si>
  <si>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</si>
  <si>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</si>
  <si>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</si>
  <si>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</si>
  <si>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</si>
  <si>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</si>
  <si>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</si>
  <si>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</si>
  <si>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</si>
  <si>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</si>
  <si>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</si>
  <si>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</si>
  <si>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</si>
  <si>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</si>
  <si>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</si>
  <si>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</si>
  <si>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</si>
  <si>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</si>
  <si>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</si>
  <si>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</si>
  <si>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</si>
  <si>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</si>
  <si>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</si>
  <si>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</si>
  <si>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</si>
  <si>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</si>
  <si>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</si>
  <si>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</si>
  <si>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</si>
  <si>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</si>
  <si>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</si>
  <si>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</si>
  <si>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</si>
  <si>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</si>
  <si>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</si>
  <si>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</si>
  <si>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</si>
  <si>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</si>
  <si>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</si>
  <si>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</si>
  <si>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</si>
  <si>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</si>
  <si>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</si>
  <si>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</si>
  <si>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</si>
  <si>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</si>
  <si>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</si>
  <si>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</si>
  <si>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</si>
  <si>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</si>
  <si>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</si>
  <si>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</si>
  <si>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</si>
  <si>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</si>
  <si>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</si>
  <si>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</si>
  <si>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</si>
  <si>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</si>
  <si>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</si>
  <si>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</si>
  <si>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</si>
  <si>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</si>
  <si>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</si>
  <si>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</si>
  <si>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</si>
  <si>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</si>
  <si>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</si>
  <si>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</si>
  <si>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</si>
  <si>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</si>
  <si>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</si>
  <si>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</si>
  <si>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</si>
  <si>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</si>
  <si>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</si>
  <si>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</si>
  <si>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</si>
  <si>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</si>
  <si>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</si>
  <si>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</si>
  <si>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</si>
  <si>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</si>
  <si>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</si>
  <si>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</si>
  <si>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</si>
  <si>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</si>
  <si>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</si>
  <si>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</si>
  <si>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</si>
  <si>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</si>
  <si>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</si>
  <si>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</si>
  <si>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</si>
  <si>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</si>
  <si>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</si>
  <si>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</si>
  <si>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</si>
  <si>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</si>
  <si>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</si>
  <si>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</si>
  <si>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</si>
  <si>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</si>
  <si>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</si>
  <si>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</si>
  <si>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</si>
  <si>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</si>
  <si>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</si>
  <si>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</si>
  <si>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</si>
  <si>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</si>
  <si>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</si>
  <si>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</si>
  <si>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</si>
  <si>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</si>
  <si>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</si>
  <si>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</si>
  <si>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</si>
  <si>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</si>
  <si>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</si>
  <si>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</si>
  <si>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</si>
  <si>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</si>
  <si>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</si>
  <si>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</si>
  <si>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</si>
  <si>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</si>
  <si>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</si>
  <si>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</si>
  <si>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</si>
  <si>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</si>
  <si>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</si>
  <si>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</si>
  <si>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</si>
  <si>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</si>
  <si>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</si>
  <si>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</si>
  <si>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</si>
  <si>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</si>
  <si>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</si>
  <si>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</si>
  <si>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</si>
  <si>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</si>
  <si>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</si>
  <si>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</si>
  <si>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</si>
  <si>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</si>
  <si>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</si>
  <si>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</si>
  <si>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</si>
  <si>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</si>
  <si>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</si>
  <si>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</si>
  <si>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</si>
  <si>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</si>
  <si>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</si>
  <si>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</si>
  <si>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</si>
  <si>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</si>
  <si>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</si>
  <si>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</si>
  <si>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</si>
  <si>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</si>
  <si>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</si>
  <si>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</si>
  <si>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</si>
  <si>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</si>
  <si>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</si>
  <si>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</si>
  <si>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</si>
  <si>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</si>
  <si>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</si>
  <si>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</si>
  <si>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</si>
  <si>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</si>
  <si>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</si>
  <si>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</si>
  <si>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</si>
  <si>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</si>
  <si>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</si>
  <si>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</si>
  <si>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</si>
  <si>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</si>
  <si>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</si>
  <si>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</si>
  <si>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</si>
  <si>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</si>
  <si>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</si>
  <si>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</si>
  <si>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</si>
  <si>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</si>
  <si>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</si>
  <si>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</si>
  <si>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</si>
  <si>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</si>
  <si>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</si>
  <si>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</si>
  <si>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</si>
  <si>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</si>
  <si>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</si>
  <si>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</si>
  <si>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</si>
  <si>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</si>
  <si>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</si>
  <si>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</si>
  <si>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</si>
  <si>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</si>
  <si>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</si>
  <si>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</si>
  <si>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</si>
  <si>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</si>
  <si>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</si>
  <si>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</si>
  <si>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</si>
  <si>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</si>
  <si>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</si>
  <si>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</si>
  <si>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</si>
  <si>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</si>
  <si>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</si>
  <si>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</si>
  <si>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</si>
  <si>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</si>
  <si>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</si>
  <si>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</si>
  <si>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</si>
  <si>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</si>
  <si>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</si>
  <si>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</si>
  <si>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</si>
  <si>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</si>
  <si>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</si>
  <si>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</si>
  <si>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</si>
  <si>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</si>
  <si>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</si>
  <si>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</si>
  <si>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</si>
  <si>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</si>
  <si>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</si>
  <si>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</si>
  <si>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</si>
  <si>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</si>
  <si>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</si>
  <si>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</si>
  <si>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</si>
  <si>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</si>
  <si>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</si>
  <si>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</si>
  <si>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</si>
  <si>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</si>
  <si>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</si>
  <si>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</si>
  <si>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</si>
  <si>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</si>
  <si>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</si>
  <si>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</si>
  <si>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</si>
  <si>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</si>
  <si>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</si>
  <si>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</si>
  <si>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</si>
  <si>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</si>
  <si>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</si>
  <si>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</si>
  <si>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</si>
  <si>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</si>
  <si>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</si>
  <si>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</si>
  <si>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</si>
  <si>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</si>
  <si>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</si>
  <si>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</si>
  <si>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</si>
  <si>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</si>
  <si>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</si>
  <si>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</si>
  <si>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</si>
  <si>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</si>
  <si>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</si>
  <si>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</si>
  <si>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</si>
  <si>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</si>
  <si>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</si>
  <si>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</si>
  <si>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</si>
  <si>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</si>
  <si>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</si>
  <si>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</si>
  <si>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</si>
  <si>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</si>
  <si>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</si>
  <si>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</si>
  <si>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</si>
  <si>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</si>
  <si>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</si>
  <si>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</si>
  <si>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</si>
  <si>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</si>
  <si>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</si>
  <si>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</si>
  <si>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</si>
  <si>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</si>
  <si>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</si>
  <si>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</si>
  <si>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</si>
  <si>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</si>
  <si>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</si>
  <si>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</si>
  <si>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</si>
  <si>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</si>
  <si>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</si>
  <si>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</si>
  <si>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</si>
  <si>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</si>
  <si>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</si>
  <si>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</si>
  <si>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</si>
  <si>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</si>
  <si>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</si>
  <si>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</si>
  <si>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</si>
  <si>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</si>
  <si>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</si>
  <si>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</si>
  <si>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</si>
  <si>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</si>
  <si>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</si>
  <si>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</si>
  <si>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</si>
  <si>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</si>
  <si>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</si>
  <si>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</si>
  <si>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</si>
  <si>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</si>
  <si>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</si>
  <si>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</si>
  <si>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</si>
  <si>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</si>
  <si>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</si>
  <si>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</si>
  <si>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</si>
  <si>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</si>
  <si>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</si>
  <si>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</si>
  <si>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</si>
  <si>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</si>
  <si>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</si>
  <si>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</si>
  <si>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</si>
  <si>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</si>
  <si>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</si>
  <si>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</si>
  <si>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</si>
  <si>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</si>
  <si>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</si>
  <si>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</si>
  <si>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</si>
  <si>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</si>
  <si>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</si>
  <si>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</si>
  <si>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</si>
  <si>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</si>
  <si>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</si>
  <si>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</si>
  <si>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</si>
  <si>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</si>
  <si>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</si>
  <si>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</si>
  <si>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</si>
  <si>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</si>
  <si>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</si>
  <si>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</si>
  <si>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</si>
  <si>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</si>
  <si>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</si>
  <si>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</si>
  <si>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</si>
  <si>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</si>
  <si>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</si>
  <si>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</si>
  <si>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</si>
  <si>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</si>
  <si>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</si>
  <si>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</si>
  <si>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</si>
  <si>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</si>
  <si>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</si>
  <si>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</si>
  <si>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</si>
  <si>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</si>
  <si>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</si>
  <si>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</si>
  <si>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</si>
  <si>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</si>
  <si>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</si>
  <si>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</si>
  <si>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</si>
  <si>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</si>
  <si>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</si>
  <si>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</si>
  <si>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</si>
  <si>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</si>
  <si>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</si>
  <si>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</si>
  <si>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</si>
  <si>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</si>
  <si>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</si>
  <si>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</si>
  <si>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</si>
  <si>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</si>
  <si>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</si>
  <si>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</si>
  <si>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</si>
  <si>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</si>
  <si>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</si>
  <si>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</si>
  <si>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</si>
  <si>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</si>
  <si>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</si>
  <si>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</si>
  <si>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</si>
  <si>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</si>
  <si>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</si>
  <si>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</si>
  <si>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</si>
  <si>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</si>
  <si>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</si>
  <si>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</si>
  <si>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</si>
  <si>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</si>
  <si>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</si>
  <si>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</si>
  <si>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</si>
  <si>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</si>
  <si>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</si>
  <si>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</si>
  <si>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</si>
  <si>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</si>
  <si>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</si>
  <si>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</si>
  <si>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</si>
  <si>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</si>
  <si>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</si>
  <si>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</si>
  <si>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</si>
  <si>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</si>
  <si>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</si>
  <si>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</si>
  <si>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</si>
  <si>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</si>
  <si>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</si>
  <si>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</si>
  <si>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</si>
  <si>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</si>
  <si>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</si>
  <si>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</si>
  <si>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</si>
  <si>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</si>
  <si>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</si>
  <si>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</si>
  <si>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</si>
  <si>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</si>
  <si>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</si>
  <si>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</si>
  <si>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</si>
  <si>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</si>
  <si>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</si>
  <si>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</si>
  <si>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</si>
  <si>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</si>
  <si>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</si>
  <si>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</si>
  <si>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</si>
  <si>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</si>
  <si>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</si>
  <si>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</si>
  <si>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</si>
  <si>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</si>
  <si>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</si>
  <si>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</si>
  <si>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</si>
  <si>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</si>
  <si>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</si>
  <si>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</si>
  <si>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</si>
  <si>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</si>
  <si>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</si>
  <si>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</si>
  <si>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</si>
  <si>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</si>
  <si>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</si>
  <si>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</si>
  <si>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</si>
  <si>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</si>
  <si>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</si>
  <si>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</si>
  <si>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</si>
  <si>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</si>
  <si>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</si>
  <si>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</si>
  <si>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</si>
  <si>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</si>
  <si>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</si>
  <si>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</si>
  <si>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</si>
  <si>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</si>
  <si>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</si>
  <si>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</si>
  <si>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</si>
  <si>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</si>
  <si>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</si>
  <si>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</si>
  <si>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</si>
  <si>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</si>
  <si>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</si>
  <si>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</si>
  <si>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</si>
  <si>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</si>
  <si>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</si>
  <si>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</si>
  <si>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</si>
  <si>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</si>
  <si>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</si>
  <si>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</si>
  <si>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</si>
  <si>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</si>
  <si>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</si>
  <si>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</si>
  <si>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</si>
  <si>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</si>
  <si>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</si>
  <si>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</si>
  <si>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</si>
  <si>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</si>
  <si>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</si>
  <si>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</si>
  <si>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</si>
  <si>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</si>
  <si>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</si>
  <si>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</si>
  <si>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</si>
  <si>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</si>
  <si>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</si>
  <si>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</si>
  <si>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</si>
  <si>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</si>
  <si>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</si>
  <si>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</si>
  <si>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</si>
  <si>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</si>
  <si>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</si>
  <si>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</si>
  <si>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</si>
  <si>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</si>
  <si>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</si>
  <si>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</si>
  <si>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</si>
  <si>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</si>
  <si>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</si>
  <si>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</si>
  <si>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</si>
  <si>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</si>
  <si>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</si>
  <si>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</si>
  <si>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</si>
  <si>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</si>
  <si>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</si>
  <si>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</si>
  <si>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</si>
  <si>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</si>
  <si>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</si>
  <si>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</si>
  <si>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</si>
  <si>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</si>
  <si>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</si>
  <si>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</si>
  <si>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</si>
  <si>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</si>
  <si>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</si>
  <si>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</si>
  <si>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</si>
  <si>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</si>
  <si>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</si>
  <si>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</si>
  <si>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</si>
  <si>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</si>
  <si>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</si>
  <si>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</si>
  <si>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</si>
  <si>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</si>
  <si>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</si>
  <si>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</si>
  <si>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</si>
  <si>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</si>
  <si>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</si>
  <si>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</si>
  <si>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</si>
  <si>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</si>
  <si>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</si>
  <si>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</si>
  <si>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</si>
  <si>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</si>
  <si>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</si>
  <si>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</si>
  <si>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</si>
  <si>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</si>
  <si>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</si>
  <si>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</si>
  <si>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</si>
  <si>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</si>
  <si>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</si>
  <si>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</si>
  <si>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</si>
  <si>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</si>
  <si>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</si>
  <si>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</si>
  <si>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</si>
  <si>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</si>
  <si>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</si>
  <si>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</si>
  <si>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</si>
  <si>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</si>
  <si>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</si>
  <si>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</si>
  <si>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</si>
  <si>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</si>
  <si>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</si>
  <si>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</si>
  <si>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</si>
  <si>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</si>
  <si>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</si>
  <si>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</si>
  <si>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</si>
  <si>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</si>
  <si>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</si>
  <si>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</si>
  <si>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</si>
  <si>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</si>
  <si>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</si>
  <si>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</si>
  <si>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</si>
  <si>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</si>
  <si>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</si>
  <si>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</si>
  <si>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</si>
  <si>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</si>
  <si>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</si>
  <si>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</si>
  <si>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</si>
  <si>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</si>
  <si>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</si>
  <si>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</si>
  <si>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</si>
  <si>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</si>
  <si>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</si>
  <si>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</si>
  <si>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</si>
  <si>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</si>
  <si>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</si>
  <si>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</si>
  <si>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</si>
  <si>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</si>
  <si>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</si>
  <si>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</si>
  <si>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</si>
  <si>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</si>
  <si>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</si>
  <si>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</si>
  <si>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</si>
  <si>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</si>
  <si>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</si>
  <si>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</si>
  <si>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</si>
  <si>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</si>
  <si>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</si>
  <si>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</si>
  <si>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</si>
  <si>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</si>
  <si>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</si>
  <si>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</si>
  <si>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</si>
  <si>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</si>
  <si>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</si>
  <si>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</si>
  <si>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</si>
  <si>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</si>
  <si>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</si>
  <si>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</si>
  <si>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</si>
  <si>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</si>
  <si>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</si>
  <si>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</si>
  <si>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</si>
  <si>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</si>
  <si>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</si>
  <si>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</si>
  <si>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</si>
  <si>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</si>
  <si>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</si>
  <si>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</si>
  <si>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</si>
  <si>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</si>
  <si>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</si>
  <si>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</si>
  <si>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</si>
  <si>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</si>
  <si>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</si>
  <si>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</si>
  <si>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</si>
  <si>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</si>
  <si>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</si>
  <si>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</si>
  <si>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</si>
  <si>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</si>
  <si>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</si>
  <si>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</si>
  <si>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</si>
  <si>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</si>
  <si>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</si>
  <si>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</si>
  <si>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</si>
  <si>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</si>
  <si>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</si>
  <si>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</si>
  <si>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</si>
  <si>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</si>
  <si>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</si>
  <si>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</si>
  <si>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</si>
  <si>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</si>
  <si>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</si>
  <si>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</si>
  <si>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</si>
  <si>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</si>
  <si>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</si>
  <si>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</si>
  <si>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</si>
  <si>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</si>
  <si>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</si>
  <si>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</si>
  <si>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</si>
  <si>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</si>
  <si>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</si>
  <si>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</si>
  <si>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</si>
  <si>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</si>
  <si>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</si>
  <si>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</si>
  <si>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</si>
  <si>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</si>
  <si>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</si>
  <si>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</si>
  <si>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</si>
  <si>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</si>
  <si>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</si>
  <si>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</si>
  <si>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</si>
  <si>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</si>
  <si>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</si>
  <si>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</si>
  <si>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</si>
  <si>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</si>
  <si>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</si>
  <si>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</si>
  <si>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</si>
  <si>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</si>
  <si>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</si>
  <si>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</si>
  <si>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</si>
  <si>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</si>
  <si>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</si>
  <si>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</si>
  <si>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</si>
  <si>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</si>
  <si>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</si>
  <si>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</si>
  <si>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</si>
  <si>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</si>
  <si>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</si>
  <si>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</si>
  <si>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</si>
  <si>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</si>
  <si>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</si>
  <si>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</si>
  <si>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</si>
  <si>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</si>
  <si>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</si>
  <si>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</si>
  <si>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</si>
  <si>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</si>
  <si>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</si>
  <si>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</si>
  <si>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</si>
  <si>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</si>
  <si>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</si>
  <si>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</si>
  <si>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</si>
  <si>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</si>
  <si>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</si>
  <si>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</si>
  <si>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</si>
  <si>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</si>
  <si>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</si>
  <si>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</si>
  <si>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</si>
  <si>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</si>
  <si>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</si>
  <si>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</si>
  <si>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</si>
  <si>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</si>
  <si>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</si>
  <si>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</si>
  <si>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</si>
  <si>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</si>
  <si>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</si>
  <si>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</si>
  <si>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</si>
  <si>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</si>
  <si>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</si>
  <si>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</si>
  <si>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</si>
  <si>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</si>
  <si>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</si>
  <si>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</si>
  <si>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</si>
  <si>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</si>
  <si>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</si>
  <si>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</si>
  <si>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</si>
  <si>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</si>
  <si>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</si>
  <si>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</si>
  <si>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</si>
  <si>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</si>
  <si>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</si>
  <si>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</si>
  <si>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</si>
  <si>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</si>
  <si>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</si>
  <si>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</si>
  <si>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</si>
  <si>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</si>
  <si>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</si>
  <si>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</si>
  <si>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</si>
  <si>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</si>
  <si>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</si>
  <si>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</si>
  <si>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</si>
  <si>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</si>
  <si>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</si>
  <si>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</si>
  <si>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</si>
  <si>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</si>
  <si>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</si>
  <si>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</si>
  <si>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</si>
  <si>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</si>
  <si>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</si>
  <si>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</si>
  <si>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</si>
  <si>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</si>
  <si>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</si>
  <si>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</si>
  <si>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</si>
  <si>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</si>
  <si>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</si>
  <si>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</si>
  <si>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</si>
  <si>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</si>
  <si>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</si>
  <si>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</si>
  <si>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</si>
  <si>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</si>
  <si>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</si>
  <si>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</si>
  <si>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</si>
  <si>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</si>
  <si>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</si>
  <si>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</si>
  <si>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</si>
  <si>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</si>
  <si>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</si>
  <si>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</si>
  <si>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</si>
  <si>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</si>
  <si>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</si>
  <si>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</si>
  <si>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</si>
  <si>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</si>
  <si>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</si>
  <si>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</si>
  <si>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</si>
  <si>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</si>
  <si>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</si>
  <si>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</si>
  <si>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</si>
  <si>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</si>
  <si>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</si>
  <si>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</si>
  <si>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</si>
  <si>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</si>
  <si>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</si>
  <si>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</si>
  <si>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</si>
  <si>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</si>
  <si>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</si>
  <si>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</si>
  <si>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</si>
  <si>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</si>
  <si>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</si>
  <si>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</si>
  <si>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</si>
  <si>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</si>
  <si>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</si>
  <si>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</si>
  <si>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</si>
  <si>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</si>
  <si>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</si>
  <si>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</si>
  <si>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</si>
  <si>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</si>
  <si>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</si>
  <si>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</si>
  <si>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</si>
  <si>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</si>
  <si>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</si>
  <si>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</si>
  <si>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</si>
  <si>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</si>
  <si>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</si>
  <si>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</si>
  <si>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</si>
  <si>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</si>
  <si>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</si>
  <si>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</si>
  <si>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</si>
  <si>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</si>
  <si>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</si>
  <si>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</si>
  <si>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</si>
  <si>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</si>
  <si>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</si>
  <si>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</si>
  <si>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</si>
  <si>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</si>
  <si>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</si>
  <si>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</si>
  <si>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</si>
  <si>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</si>
  <si>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</si>
  <si>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</si>
  <si>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</si>
  <si>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</si>
  <si>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</si>
  <si>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</si>
  <si>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</si>
  <si>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</si>
  <si>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</si>
  <si>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</si>
  <si>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</si>
  <si>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</si>
  <si>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</si>
  <si>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</si>
  <si>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</si>
  <si>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</si>
  <si>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</si>
  <si>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</si>
  <si>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</si>
  <si>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</si>
  <si>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</si>
  <si>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</si>
  <si>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</si>
  <si>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</si>
  <si>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</si>
  <si>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</si>
  <si>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</si>
  <si>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</si>
  <si>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</si>
  <si>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</si>
  <si>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</si>
  <si>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</si>
  <si>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</si>
  <si>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</si>
  <si>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</si>
  <si>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</si>
  <si>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</si>
  <si>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</si>
  <si>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</si>
  <si>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</si>
  <si>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</si>
  <si>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</si>
  <si>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</si>
  <si>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</si>
  <si>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</si>
  <si>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</si>
  <si>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</si>
  <si>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</si>
  <si>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</si>
  <si>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</si>
  <si>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</si>
  <si>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</si>
  <si>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</si>
  <si>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</si>
  <si>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</si>
  <si>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</si>
  <si>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</si>
  <si>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</si>
  <si>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</si>
  <si>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</si>
  <si>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</si>
  <si>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</si>
  <si>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</si>
  <si>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</si>
  <si>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</si>
  <si>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</si>
  <si>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</si>
  <si>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</si>
  <si>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</si>
  <si>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</si>
  <si>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</si>
  <si>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</si>
  <si>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</si>
  <si>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</si>
  <si>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</si>
  <si>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</si>
  <si>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</si>
  <si>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</si>
  <si>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</si>
  <si>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</si>
  <si>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</si>
  <si>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</si>
  <si>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</si>
  <si>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</si>
  <si>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</si>
  <si>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</si>
  <si>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</si>
  <si>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</si>
  <si>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</si>
  <si>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</si>
  <si>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</si>
  <si>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</si>
  <si>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</si>
  <si>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</si>
  <si>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</si>
  <si>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</si>
  <si>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</si>
  <si>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</si>
  <si>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</si>
  <si>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</si>
  <si>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</si>
  <si>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</si>
  <si>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</si>
  <si>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</si>
  <si>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</si>
  <si>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</si>
  <si>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</si>
  <si>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</si>
  <si>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</si>
  <si>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</si>
  <si>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</si>
  <si>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</si>
  <si>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</si>
  <si>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</si>
  <si>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</si>
  <si>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</si>
  <si>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</si>
  <si>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</si>
  <si>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</si>
  <si>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</si>
  <si>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</si>
  <si>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</si>
  <si>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</si>
  <si>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</si>
  <si>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</si>
  <si>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</si>
  <si>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</si>
  <si>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</si>
  <si>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</si>
  <si>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</si>
  <si>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</si>
  <si>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</si>
  <si>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</si>
  <si>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</si>
  <si>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</si>
  <si>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</si>
  <si>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</si>
  <si>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</si>
  <si>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</si>
  <si>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</si>
  <si>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</si>
  <si>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</si>
  <si>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</si>
  <si>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</si>
  <si>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</si>
  <si>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</si>
  <si>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</si>
  <si>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</si>
  <si>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</si>
  <si>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</si>
  <si>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</si>
  <si>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</si>
  <si>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</si>
  <si>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</si>
  <si>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</si>
  <si>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</si>
  <si>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</si>
  <si>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</si>
  <si>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</si>
  <si>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</si>
  <si>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</si>
  <si>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</si>
  <si>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</si>
  <si>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</si>
  <si>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</si>
  <si>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</si>
  <si>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</si>
  <si>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</si>
  <si>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</si>
  <si>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</si>
  <si>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</si>
  <si>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</si>
  <si>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</si>
  <si>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</si>
  <si>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</si>
  <si>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</si>
  <si>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</si>
  <si>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</si>
  <si>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</si>
  <si>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</si>
  <si>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</si>
  <si>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</si>
  <si>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</si>
  <si>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</si>
  <si>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</si>
  <si>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</si>
  <si>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</si>
  <si>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</si>
  <si>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</si>
  <si>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</si>
  <si>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</si>
  <si>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</si>
  <si>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</si>
  <si>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</si>
  <si>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</si>
  <si>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</si>
  <si>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</si>
  <si>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</si>
  <si>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</si>
  <si>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</si>
  <si>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</si>
  <si>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</si>
  <si>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</si>
  <si>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</si>
  <si>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</si>
  <si>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</si>
  <si>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</si>
  <si>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</si>
  <si>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</si>
  <si>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</si>
  <si>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</si>
  <si>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</si>
  <si>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</si>
  <si>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</si>
  <si>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</si>
  <si>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</si>
  <si>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</si>
  <si>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</si>
  <si>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</si>
  <si>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</si>
  <si>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</si>
  <si>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</si>
  <si>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</si>
  <si>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</si>
  <si>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</si>
  <si>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</si>
  <si>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</si>
  <si>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</si>
  <si>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</si>
  <si>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</si>
  <si>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</si>
  <si>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</si>
  <si>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</si>
  <si>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</si>
  <si>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</si>
  <si>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</si>
  <si>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</si>
  <si>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</si>
  <si>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</si>
  <si>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</si>
  <si>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</si>
  <si>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</si>
  <si>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</si>
  <si>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</si>
  <si>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</si>
  <si>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</si>
  <si>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</si>
  <si>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</si>
  <si>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</si>
  <si>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</si>
  <si>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</si>
  <si>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</si>
  <si>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</si>
  <si>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</si>
  <si>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</si>
  <si>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</si>
  <si>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</si>
  <si>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</si>
  <si>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</si>
  <si>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</si>
  <si>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</si>
  <si>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</si>
  <si>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</si>
  <si>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</si>
  <si>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</si>
  <si>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</si>
  <si>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</si>
  <si>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</si>
  <si>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</si>
  <si>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</si>
  <si>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</si>
  <si>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</si>
  <si>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</si>
  <si>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</si>
  <si>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</si>
  <si>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</si>
  <si>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</si>
  <si>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</si>
  <si>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</si>
  <si>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</si>
  <si>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</si>
  <si>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</si>
  <si>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</si>
  <si>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</si>
  <si>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</si>
  <si>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</si>
  <si>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</si>
  <si>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</si>
  <si>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</si>
  <si>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</si>
  <si>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</si>
  <si>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</si>
  <si>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</si>
  <si>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</si>
  <si>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</si>
  <si>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</si>
  <si>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</si>
  <si>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</si>
  <si>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</si>
  <si>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</si>
  <si>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</si>
  <si>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</si>
  <si>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</si>
  <si>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</si>
  <si>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</si>
  <si>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</si>
  <si>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</si>
  <si>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</si>
  <si>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</si>
  <si>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</si>
  <si>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</si>
  <si>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</si>
  <si>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</si>
  <si>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</si>
  <si>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</si>
  <si>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</si>
  <si>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</si>
  <si>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</si>
  <si>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</si>
  <si>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</si>
  <si>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</si>
  <si>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</si>
  <si>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</si>
  <si>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</si>
  <si>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</si>
  <si>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</si>
  <si>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</si>
  <si>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</si>
  <si>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</si>
  <si>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</si>
  <si>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</si>
  <si>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</si>
  <si>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</si>
  <si>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</si>
  <si>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</si>
  <si>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</si>
  <si>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</si>
  <si>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</si>
  <si>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</si>
  <si>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</si>
  <si>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</si>
  <si>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</si>
  <si>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</si>
  <si>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</si>
  <si>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</si>
  <si>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</si>
  <si>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</si>
  <si>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</si>
  <si>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</si>
  <si>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</si>
  <si>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</si>
  <si>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</si>
  <si>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</si>
  <si>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</si>
  <si>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</si>
  <si>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</si>
  <si>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</si>
  <si>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</si>
  <si>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</si>
  <si>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</si>
  <si>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</si>
  <si>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</si>
  <si>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</si>
  <si>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</si>
  <si>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</si>
  <si>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</si>
  <si>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</si>
  <si>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</si>
  <si>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</si>
  <si>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</si>
  <si>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</si>
  <si>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</si>
  <si>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</si>
  <si>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</si>
  <si>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</si>
  <si>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</si>
  <si>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</si>
  <si>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</si>
  <si>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</si>
  <si>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</si>
  <si>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</si>
  <si>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</si>
  <si>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</si>
  <si>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</si>
  <si>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</si>
  <si>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</si>
  <si>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</si>
  <si>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</si>
  <si>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</si>
  <si>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</si>
  <si>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</si>
  <si>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</si>
  <si>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</si>
  <si>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</si>
  <si>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</si>
  <si>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</si>
  <si>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</si>
  <si>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</si>
  <si>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</si>
  <si>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</si>
  <si>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</si>
  <si>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</si>
  <si>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</si>
  <si>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</si>
  <si>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</si>
  <si>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</si>
  <si>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</si>
  <si>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</si>
  <si>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</si>
  <si>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</si>
  <si>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</si>
  <si>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</si>
  <si>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</si>
  <si>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</si>
  <si>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</si>
  <si>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</si>
  <si>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</si>
  <si>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</si>
  <si>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</si>
  <si>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</si>
  <si>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</si>
  <si>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</si>
  <si>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</si>
  <si>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</si>
  <si>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</si>
  <si>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</si>
  <si>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</si>
  <si>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</si>
  <si>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</si>
  <si>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</si>
  <si>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</si>
  <si>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</si>
  <si>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</si>
  <si>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</si>
  <si>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</si>
  <si>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</si>
  <si>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</si>
  <si>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</si>
  <si>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</si>
  <si>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</si>
  <si>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</si>
  <si>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</si>
  <si>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</si>
  <si>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</si>
  <si>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</si>
  <si>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</si>
  <si>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</si>
  <si>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</si>
  <si>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</si>
  <si>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</si>
  <si>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</si>
  <si>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</si>
  <si>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</si>
  <si>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</si>
  <si>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</si>
  <si>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</si>
  <si>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</si>
  <si>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</si>
  <si>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</si>
  <si>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</si>
  <si>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</si>
  <si>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</si>
  <si>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</si>
  <si>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</si>
  <si>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</si>
  <si>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</si>
  <si>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</si>
  <si>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</si>
  <si>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</si>
  <si>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</si>
  <si>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</si>
  <si>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</si>
  <si>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</si>
  <si>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</si>
  <si>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</si>
  <si>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</si>
  <si>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</si>
  <si>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</si>
  <si>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</si>
  <si>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</si>
  <si>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</si>
  <si>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</si>
  <si>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</si>
  <si>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</si>
  <si>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</si>
  <si>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</si>
  <si>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</si>
  <si>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</si>
  <si>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</si>
  <si>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</si>
  <si>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</si>
  <si>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</si>
  <si>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</si>
  <si>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</si>
  <si>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</si>
  <si>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</si>
  <si>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</si>
  <si>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</si>
  <si>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</si>
  <si>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</si>
  <si>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</si>
  <si>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</si>
  <si>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</si>
  <si>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</si>
  <si>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</si>
  <si>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</si>
  <si>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</si>
  <si>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</si>
  <si>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</si>
  <si>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</si>
  <si>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</si>
  <si>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</si>
  <si>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</si>
  <si>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</si>
  <si>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</si>
  <si>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</si>
  <si>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</si>
  <si>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</si>
  <si>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</si>
  <si>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</si>
  <si>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</si>
  <si>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</si>
  <si>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</si>
  <si>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</si>
  <si>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</si>
  <si>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</si>
  <si>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</si>
  <si>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</si>
  <si>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</si>
  <si>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</si>
  <si>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</si>
  <si>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</si>
  <si>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</si>
  <si>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</si>
  <si>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</si>
  <si>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</si>
  <si>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</si>
  <si>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</si>
  <si>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</si>
  <si>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</si>
  <si>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</si>
  <si>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</si>
  <si>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</si>
  <si>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</si>
  <si>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</si>
  <si>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</si>
  <si>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</si>
  <si>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</si>
  <si>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</si>
  <si>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</si>
  <si>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</si>
  <si>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</si>
  <si>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</si>
  <si>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</si>
  <si>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</si>
  <si>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</si>
  <si>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</si>
  <si>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</si>
  <si>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</si>
  <si>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</si>
  <si>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</si>
  <si>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</si>
  <si>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</si>
  <si>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</si>
  <si>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</si>
  <si>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</si>
  <si>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</si>
  <si>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</si>
  <si>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</si>
  <si>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</si>
  <si>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</si>
  <si>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</si>
  <si>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</si>
  <si>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</si>
  <si>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</si>
  <si>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</si>
  <si>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</si>
  <si>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</si>
  <si>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</si>
  <si>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</si>
  <si>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</si>
  <si>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</si>
  <si>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</si>
  <si>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</si>
  <si>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</si>
  <si>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</si>
  <si>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</si>
  <si>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</si>
  <si>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</si>
  <si>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</si>
  <si>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</si>
  <si>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</si>
  <si>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</si>
  <si>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</si>
  <si>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</si>
  <si>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</si>
  <si>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</si>
  <si>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</si>
  <si>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</si>
  <si>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</si>
  <si>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</si>
  <si>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</si>
  <si>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</si>
  <si>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</si>
  <si>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</si>
  <si>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</si>
  <si>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</si>
  <si>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</si>
  <si>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</si>
  <si>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</si>
  <si>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</si>
  <si>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</si>
  <si>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</si>
  <si>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</si>
  <si>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</si>
  <si>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</si>
  <si>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</si>
  <si>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</si>
  <si>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</si>
  <si>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</si>
  <si>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</si>
  <si>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</si>
  <si>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</si>
  <si>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</si>
  <si>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</si>
  <si>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</si>
  <si>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</si>
  <si>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</si>
  <si>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</si>
  <si>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</si>
  <si>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</si>
  <si>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</si>
  <si>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</si>
  <si>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</si>
  <si>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</si>
  <si>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</si>
  <si>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</si>
  <si>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</si>
  <si>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</si>
  <si>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</si>
  <si>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</si>
  <si>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</si>
  <si>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</si>
  <si>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</si>
  <si>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</si>
  <si>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</si>
  <si>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</si>
  <si>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</si>
  <si>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</si>
  <si>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</si>
  <si>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</si>
  <si>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</si>
  <si>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</si>
  <si>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</si>
  <si>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</si>
  <si>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</si>
  <si>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</si>
  <si>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</si>
  <si>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</si>
  <si>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</si>
  <si>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</si>
  <si>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</si>
  <si>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</si>
  <si>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</si>
  <si>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</si>
  <si>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</si>
  <si>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</si>
  <si>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</si>
  <si>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</si>
  <si>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</si>
  <si>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</si>
  <si>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</si>
  <si>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</si>
  <si>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</si>
  <si>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</si>
  <si>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</si>
  <si>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</si>
  <si>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</si>
  <si>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</si>
  <si>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</si>
  <si>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</si>
  <si>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</si>
  <si>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</si>
  <si>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</si>
  <si>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</si>
  <si>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</si>
  <si>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</si>
  <si>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</si>
  <si>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</si>
  <si>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</si>
  <si>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</si>
  <si>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</si>
  <si>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</si>
  <si>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</si>
  <si>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</si>
  <si>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</si>
  <si>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</si>
  <si>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</si>
  <si>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</si>
  <si>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</si>
  <si>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</si>
  <si>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</si>
  <si>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</si>
  <si>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</si>
  <si>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</si>
  <si>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</si>
  <si>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</si>
  <si>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</si>
  <si>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</si>
  <si>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</si>
  <si>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</si>
  <si>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</si>
  <si>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</si>
  <si>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</si>
  <si>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</si>
  <si>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</si>
  <si>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</si>
  <si>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</si>
  <si>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</si>
  <si>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</si>
  <si>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</si>
  <si>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</si>
  <si>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</si>
  <si>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</si>
  <si>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</si>
  <si>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</si>
  <si>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</si>
  <si>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</si>
  <si>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</si>
  <si>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</si>
  <si>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</si>
  <si>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</si>
  <si>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</si>
  <si>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</si>
  <si>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</si>
  <si>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</si>
  <si>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</si>
  <si>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</si>
  <si>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</si>
  <si>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</si>
  <si>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</si>
  <si>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</si>
  <si>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</si>
  <si>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</si>
  <si>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</si>
  <si>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</si>
  <si>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</si>
  <si>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</si>
  <si>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</si>
  <si>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</si>
  <si>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</si>
  <si>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</si>
  <si>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</si>
  <si>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</si>
  <si>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</si>
  <si>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</si>
  <si>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</si>
  <si>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</si>
  <si>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</si>
  <si>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</si>
  <si>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</si>
  <si>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</si>
  <si>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</si>
  <si>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</si>
  <si>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</si>
  <si>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</si>
  <si>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</si>
  <si>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</si>
  <si>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</si>
  <si>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</si>
  <si>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</si>
  <si>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</si>
  <si>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</si>
  <si>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</si>
  <si>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</si>
  <si>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</si>
  <si>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</si>
  <si>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</si>
  <si>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</si>
  <si>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</si>
  <si>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</si>
  <si>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</si>
  <si>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</si>
  <si>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</si>
  <si>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</si>
  <si>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</si>
  <si>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</si>
  <si>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</si>
  <si>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</si>
  <si>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</si>
  <si>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</si>
  <si>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</si>
  <si>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</si>
  <si>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</si>
  <si>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</si>
  <si>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</si>
  <si>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</si>
  <si>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</si>
  <si>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</si>
  <si>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</si>
  <si>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</si>
  <si>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</si>
  <si>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</si>
  <si>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</si>
  <si>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</si>
  <si>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</si>
  <si>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</si>
  <si>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</si>
  <si>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</si>
  <si>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</si>
  <si>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</si>
  <si>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</si>
  <si>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</si>
  <si>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</si>
  <si>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</si>
  <si>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</si>
  <si>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</si>
  <si>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</si>
  <si>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</si>
  <si>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</si>
  <si>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</si>
  <si>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</si>
  <si>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</si>
  <si>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</si>
  <si>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</si>
  <si>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</si>
  <si>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</si>
  <si>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</si>
  <si>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</si>
  <si>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</si>
  <si>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</si>
  <si>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</si>
  <si>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</si>
  <si>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</si>
  <si>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</si>
  <si>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</si>
  <si>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</si>
  <si>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</si>
  <si>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</si>
  <si>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</si>
  <si>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</si>
  <si>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</si>
  <si>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</si>
  <si>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</si>
  <si>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</si>
  <si>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</si>
  <si>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</si>
  <si>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</si>
  <si>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</si>
  <si>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</si>
  <si>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</si>
  <si>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</si>
  <si>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</si>
  <si>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</si>
  <si>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</si>
  <si>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</si>
  <si>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</si>
  <si>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</si>
  <si>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</si>
  <si>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</si>
  <si>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</si>
  <si>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</si>
  <si>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</si>
  <si>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</si>
  <si>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</si>
  <si>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</si>
  <si>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</si>
  <si>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</si>
  <si>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</si>
  <si>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</si>
  <si>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</si>
  <si>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</si>
  <si>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</si>
  <si>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</si>
  <si>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</si>
  <si>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</si>
  <si>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</si>
  <si>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</si>
  <si>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</si>
  <si>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</si>
  <si>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</si>
  <si>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</si>
  <si>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</si>
  <si>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</si>
  <si>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</si>
  <si>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</si>
  <si>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</si>
  <si>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</si>
  <si>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</si>
  <si>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</si>
  <si>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</si>
  <si>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</si>
  <si>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</si>
  <si>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</si>
  <si>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</si>
  <si>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</si>
  <si>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</si>
  <si>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</si>
  <si>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</si>
  <si>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</si>
  <si>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</si>
  <si>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</si>
  <si>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</si>
  <si>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</si>
  <si>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</si>
  <si>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</si>
  <si>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</si>
  <si>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</si>
  <si>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</si>
  <si>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</si>
  <si>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</si>
  <si>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</si>
  <si>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</si>
  <si>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</si>
  <si>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</si>
  <si>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</si>
  <si>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</si>
  <si>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</si>
  <si>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</si>
  <si>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</si>
  <si>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</si>
  <si>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</si>
  <si>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</si>
  <si>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</si>
  <si>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</si>
  <si>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</si>
  <si>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</si>
  <si>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</si>
  <si>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</si>
  <si>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</si>
  <si>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</si>
  <si>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</si>
  <si>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</si>
  <si>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</si>
  <si>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</si>
  <si>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</si>
  <si>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</si>
  <si>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</si>
  <si>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</si>
  <si>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</si>
  <si>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</si>
  <si>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</si>
  <si>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</si>
  <si>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</si>
  <si>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</si>
  <si>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</si>
  <si>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</si>
  <si>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</si>
  <si>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</si>
  <si>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</si>
  <si>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</si>
  <si>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</si>
  <si>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</si>
  <si>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</si>
  <si>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</si>
  <si>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</si>
  <si>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</si>
  <si>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</si>
  <si>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</si>
  <si>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</si>
  <si>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</si>
  <si>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</si>
  <si>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</si>
  <si>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</si>
  <si>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</si>
  <si>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</si>
  <si>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</si>
  <si>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</si>
  <si>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</si>
  <si>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</si>
  <si>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</si>
  <si>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</si>
  <si>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</si>
  <si>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</si>
  <si>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</si>
  <si>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</si>
  <si>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</si>
  <si>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</si>
  <si>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</si>
  <si>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</si>
  <si>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</si>
  <si>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</si>
  <si>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</si>
  <si>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</si>
  <si>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</si>
  <si>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</si>
  <si>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</si>
  <si>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</si>
  <si>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</si>
  <si>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</si>
  <si>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</si>
  <si>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</si>
  <si>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</si>
  <si>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</si>
  <si>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</si>
  <si>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</si>
  <si>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</si>
  <si>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</si>
  <si>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</si>
  <si>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</si>
  <si>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</si>
  <si>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</si>
  <si>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</si>
  <si>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</si>
  <si>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</si>
  <si>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</si>
  <si>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</si>
  <si>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</si>
  <si>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</si>
  <si>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</si>
  <si>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</si>
  <si>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</si>
  <si>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</si>
  <si>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</si>
  <si>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</si>
  <si>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</si>
  <si>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</si>
  <si>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</si>
  <si>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</si>
  <si>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</si>
  <si>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</si>
  <si>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</si>
  <si>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</si>
  <si>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</si>
  <si>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</si>
  <si>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</si>
  <si>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</si>
  <si>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</si>
  <si>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</si>
  <si>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</si>
  <si>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</si>
  <si>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</si>
  <si>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</si>
  <si>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</si>
  <si>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</si>
  <si>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</si>
  <si>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</si>
  <si>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</si>
  <si>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</si>
  <si>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</si>
  <si>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</si>
  <si>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</si>
  <si>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</si>
  <si>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</si>
  <si>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</si>
  <si>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</si>
  <si>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</si>
  <si>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</si>
  <si>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</si>
  <si>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</si>
  <si>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</si>
  <si>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</si>
  <si>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</si>
  <si>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</si>
  <si>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</si>
  <si>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</si>
  <si>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</si>
  <si>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</si>
  <si>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</si>
  <si>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</si>
  <si>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</si>
  <si>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</si>
  <si>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</si>
  <si>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</si>
  <si>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</si>
  <si>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</si>
  <si>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</si>
  <si>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</si>
  <si>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</si>
  <si>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</si>
  <si>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</si>
  <si>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</si>
  <si>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</si>
  <si>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</si>
  <si>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</si>
  <si>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</si>
  <si>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</si>
  <si>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</si>
  <si>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</si>
  <si>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</si>
  <si>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</si>
  <si>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</si>
  <si>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</si>
  <si>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</si>
  <si>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</si>
  <si>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</si>
  <si>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</si>
  <si>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</si>
  <si>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</si>
  <si>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</si>
  <si>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</si>
  <si>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</si>
  <si>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</si>
  <si>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</si>
  <si>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</si>
  <si>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</si>
  <si>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</si>
  <si>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</si>
  <si>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</si>
  <si>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</si>
  <si>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</si>
  <si>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</si>
  <si>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</si>
  <si>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</si>
  <si>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</si>
  <si>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</si>
  <si>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</si>
  <si>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</si>
  <si>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</si>
  <si>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</si>
  <si>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</si>
  <si>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</si>
  <si>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</si>
  <si>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</si>
  <si>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</si>
  <si>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</si>
  <si>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</si>
  <si>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</si>
  <si>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</si>
  <si>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</si>
  <si>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</si>
  <si>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</si>
  <si>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</si>
  <si>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</si>
  <si>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</si>
  <si>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</si>
  <si>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</si>
  <si>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</si>
  <si>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</si>
  <si>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</si>
  <si>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</si>
  <si>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</si>
  <si>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</si>
  <si>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</si>
  <si>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</si>
  <si>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</si>
  <si>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</si>
  <si>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</si>
  <si>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</si>
  <si>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</si>
  <si>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</si>
  <si>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</si>
  <si>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</si>
  <si>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</si>
  <si>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</si>
  <si>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</si>
  <si>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</si>
  <si>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</si>
  <si>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</si>
  <si>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</si>
  <si>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</si>
  <si>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</si>
  <si>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</si>
  <si>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</si>
  <si>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</si>
  <si>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</si>
  <si>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</si>
  <si>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</si>
  <si>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</si>
  <si>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</si>
  <si>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</si>
  <si>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</si>
  <si>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</si>
  <si>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</si>
  <si>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</si>
  <si>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</si>
  <si>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</si>
  <si>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</si>
  <si>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</si>
  <si>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</si>
  <si>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</si>
  <si>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</si>
  <si>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</si>
  <si>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</si>
  <si>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</si>
  <si>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</si>
  <si>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</si>
  <si>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</si>
  <si>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</si>
  <si>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</si>
  <si>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</si>
  <si>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</si>
  <si>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</si>
  <si>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</si>
  <si>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</si>
  <si>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</si>
  <si>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</si>
  <si>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</si>
  <si>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</si>
  <si>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</si>
  <si>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</si>
  <si>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</si>
  <si>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</si>
  <si>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</si>
  <si>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</si>
  <si>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</si>
  <si>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</si>
  <si>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</si>
  <si>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</si>
  <si>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</si>
  <si>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</si>
  <si>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</si>
  <si>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</si>
  <si>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</si>
  <si>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</si>
  <si>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</si>
  <si>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</si>
  <si>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</si>
  <si>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</si>
  <si>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</si>
  <si>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</si>
  <si>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</si>
  <si>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</si>
  <si>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</si>
  <si>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</si>
  <si>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</si>
  <si>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</si>
  <si>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</si>
  <si>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</si>
  <si>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</si>
  <si>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</si>
  <si>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</si>
  <si>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</si>
  <si>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</si>
  <si>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</si>
  <si>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</si>
  <si>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</si>
  <si>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</si>
  <si>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</si>
  <si>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</si>
  <si>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</si>
  <si>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</si>
  <si>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</si>
  <si>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</si>
  <si>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</si>
  <si>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</si>
  <si>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</si>
  <si>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</si>
  <si>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</si>
  <si>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</si>
  <si>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</si>
  <si>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</si>
  <si>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</si>
  <si>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</si>
  <si>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</si>
  <si>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</si>
  <si>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</si>
  <si>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</si>
  <si>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</si>
  <si>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</si>
  <si>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</si>
  <si>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</si>
  <si>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</si>
  <si>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</si>
  <si>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</si>
  <si>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</si>
  <si>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</si>
  <si>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</si>
  <si>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</si>
  <si>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</si>
  <si>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</si>
  <si>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</si>
  <si>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</si>
  <si>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</si>
  <si>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</si>
  <si>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</si>
  <si>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</si>
  <si>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</si>
  <si>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</si>
  <si>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</si>
  <si>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</si>
  <si>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</si>
  <si>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</si>
  <si>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</si>
  <si>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</si>
  <si>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</si>
  <si>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</si>
  <si>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</si>
  <si>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</si>
  <si>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</si>
  <si>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</si>
  <si>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</si>
  <si>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</si>
  <si>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</si>
  <si>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</si>
  <si>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</si>
  <si>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</si>
  <si>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</si>
  <si>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</si>
  <si>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</si>
  <si>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</si>
  <si>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</si>
  <si>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</si>
  <si>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</si>
  <si>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</si>
  <si>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</si>
  <si>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</si>
  <si>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</si>
  <si>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</si>
  <si>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</si>
  <si>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</si>
  <si>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</si>
  <si>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</si>
  <si>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</si>
  <si>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</si>
  <si>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</si>
  <si>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</si>
  <si>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</si>
  <si>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</si>
  <si>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</si>
  <si>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</si>
  <si>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</si>
  <si>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</si>
  <si>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</si>
  <si>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</si>
  <si>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</si>
  <si>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</si>
  <si>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</si>
  <si>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</si>
  <si>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</si>
  <si>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</si>
  <si>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</si>
  <si>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</si>
  <si>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</si>
  <si>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</si>
  <si>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</si>
  <si>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</si>
  <si>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</si>
  <si>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</si>
  <si>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</si>
  <si>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</si>
  <si>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</si>
  <si>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</si>
  <si>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</si>
  <si>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</si>
  <si>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</si>
  <si>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</si>
  <si>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</si>
  <si>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</si>
  <si>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</si>
  <si>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</si>
  <si>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</si>
  <si>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</si>
  <si>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</si>
  <si>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</si>
  <si>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</si>
  <si>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</si>
  <si>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</si>
  <si>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</si>
  <si>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</si>
  <si>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</si>
  <si>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</si>
  <si>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</si>
  <si>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</si>
  <si>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</si>
  <si>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</si>
  <si>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</si>
  <si>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</si>
  <si>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</si>
  <si>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</si>
  <si>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</si>
  <si>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</si>
  <si>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</si>
  <si>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</si>
  <si>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</si>
  <si>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</si>
  <si>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</si>
  <si>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</si>
  <si>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</si>
  <si>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</si>
  <si>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</si>
  <si>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</si>
  <si>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</si>
  <si>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</si>
  <si>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</si>
  <si>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</si>
  <si>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</si>
  <si>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</si>
  <si>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</si>
  <si>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</si>
  <si>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</si>
  <si>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</si>
  <si>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</si>
  <si>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</si>
  <si>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</si>
  <si>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</si>
  <si>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</si>
  <si>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</si>
  <si>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</si>
  <si>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</si>
  <si>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</si>
  <si>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</si>
  <si>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</si>
  <si>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</si>
  <si>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</si>
  <si>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</si>
  <si>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</si>
  <si>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</si>
  <si>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</si>
  <si>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</si>
  <si>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</si>
  <si>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</si>
  <si>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</si>
  <si>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</si>
  <si>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</si>
  <si>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</si>
  <si>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</si>
  <si>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</si>
  <si>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</si>
  <si>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</si>
  <si>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</si>
  <si>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</si>
  <si>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</si>
  <si>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</si>
  <si>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</si>
  <si>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</si>
  <si>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</si>
  <si>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</si>
  <si>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</si>
  <si>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</si>
  <si>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</si>
  <si>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</si>
  <si>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</si>
  <si>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</si>
  <si>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</si>
  <si>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</si>
  <si>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</si>
  <si>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</si>
  <si>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</si>
  <si>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</si>
  <si>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</si>
  <si>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</si>
  <si>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</si>
  <si>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</si>
  <si>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</si>
  <si>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</si>
  <si>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</si>
  <si>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</si>
  <si>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</si>
  <si>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</si>
  <si>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</si>
  <si>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</si>
  <si>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</si>
  <si>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</si>
  <si>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</si>
  <si>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</si>
  <si>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</si>
  <si>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</si>
  <si>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</si>
  <si>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</si>
  <si>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</si>
  <si>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</si>
  <si>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</si>
  <si>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</si>
  <si>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</si>
  <si>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</si>
  <si>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</si>
  <si>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</si>
  <si>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</si>
  <si>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</si>
  <si>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</si>
  <si>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</si>
  <si>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</si>
  <si>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</si>
  <si>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</si>
  <si>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</si>
  <si>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</si>
  <si>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</si>
  <si>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</si>
  <si>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</si>
  <si>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</si>
  <si>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</si>
  <si>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</si>
  <si>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</si>
  <si>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</si>
  <si>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</si>
  <si>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</si>
  <si>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</si>
  <si>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</si>
  <si>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</si>
  <si>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</si>
  <si>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</si>
  <si>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</si>
  <si>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</si>
  <si>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</si>
  <si>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</si>
  <si>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</si>
  <si>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</si>
  <si>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</si>
  <si>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</si>
  <si>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</si>
  <si>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</si>
  <si>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</si>
  <si>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</si>
  <si>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</si>
  <si>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</si>
  <si>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</si>
  <si>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</si>
  <si>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</si>
  <si>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</si>
  <si>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</si>
  <si>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</si>
  <si>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</si>
  <si>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</si>
  <si>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</si>
  <si>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</si>
  <si>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</si>
  <si>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</si>
  <si>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</si>
  <si>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</si>
  <si>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</si>
  <si>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</si>
  <si>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</si>
  <si>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</si>
  <si>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</si>
  <si>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</si>
  <si>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</si>
  <si>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</si>
  <si>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</si>
  <si>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</si>
  <si>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</si>
  <si>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</si>
  <si>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</si>
  <si>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</si>
  <si>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</si>
  <si>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</si>
  <si>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</si>
  <si>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</si>
  <si>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</si>
  <si>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</si>
  <si>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</si>
  <si>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</si>
  <si>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</si>
  <si>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</si>
  <si>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</si>
  <si>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</si>
  <si>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</si>
  <si>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</si>
  <si>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</si>
  <si>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</si>
  <si>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</si>
  <si>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</si>
  <si>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</si>
  <si>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</si>
  <si>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</si>
  <si>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</si>
  <si>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</si>
  <si>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</si>
  <si>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</si>
  <si>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</si>
  <si>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</si>
  <si>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</si>
  <si>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</si>
  <si>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</si>
  <si>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</si>
  <si>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</si>
  <si>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</si>
  <si>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</si>
  <si>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</si>
  <si>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</si>
  <si>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</si>
  <si>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</si>
  <si>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</si>
  <si>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</si>
  <si>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</si>
  <si>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</si>
  <si>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</si>
  <si>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</si>
  <si>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</si>
  <si>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</si>
  <si>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</si>
  <si>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</si>
  <si>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</si>
  <si>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</si>
  <si>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</si>
  <si>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</si>
  <si>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</si>
  <si>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</si>
  <si>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</si>
  <si>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</si>
  <si>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</si>
  <si>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</si>
  <si>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</si>
  <si>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</si>
  <si>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</si>
  <si>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</si>
  <si>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</si>
  <si>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</si>
  <si>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</si>
  <si>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</si>
  <si>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</si>
  <si>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</si>
  <si>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</si>
  <si>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</si>
  <si>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</si>
  <si>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</si>
  <si>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</si>
  <si>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</si>
  <si>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</si>
  <si>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</si>
  <si>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</si>
  <si>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</si>
  <si>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</si>
  <si>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</si>
  <si>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</si>
  <si>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</si>
  <si>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</si>
  <si>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</si>
  <si>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</si>
  <si>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</si>
  <si>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</si>
  <si>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</si>
  <si>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</si>
  <si>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</si>
  <si>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</si>
  <si>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</si>
  <si>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</si>
  <si>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</si>
  <si>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</si>
  <si>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</si>
  <si>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</si>
  <si>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</si>
  <si>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</si>
  <si>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</si>
  <si>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</si>
  <si>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</si>
  <si>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</si>
  <si>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</si>
  <si>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</si>
  <si>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</si>
  <si>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</si>
  <si>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</si>
  <si>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</si>
  <si>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</si>
  <si>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</si>
  <si>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</si>
  <si>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</si>
  <si>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</si>
  <si>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</si>
  <si>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</si>
  <si>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</si>
  <si>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</si>
  <si>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</si>
  <si>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</si>
  <si>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</si>
  <si>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</si>
  <si>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</si>
  <si>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</si>
  <si>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</si>
  <si>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</si>
  <si>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</si>
  <si>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</si>
  <si>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</si>
  <si>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</si>
  <si>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</si>
  <si>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</si>
  <si>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</si>
  <si>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</si>
  <si>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</si>
  <si>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</si>
  <si>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</si>
  <si>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</si>
  <si>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</si>
  <si>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</si>
  <si>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</si>
  <si>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</si>
  <si>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</si>
  <si>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</si>
  <si>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</si>
  <si>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</si>
  <si>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</si>
  <si>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</si>
  <si>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</si>
  <si>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</si>
  <si>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</si>
  <si>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</si>
  <si>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</si>
  <si>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</si>
  <si>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</si>
  <si>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</si>
  <si>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</si>
  <si>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</si>
  <si>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</si>
  <si>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</si>
  <si>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</si>
  <si>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</si>
  <si>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</si>
  <si>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</si>
  <si>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</si>
  <si>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</si>
  <si>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</si>
  <si>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</si>
  <si>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</si>
  <si>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</si>
  <si>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</si>
  <si>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</si>
  <si>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</si>
  <si>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</si>
  <si>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</si>
  <si>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</si>
  <si>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</si>
  <si>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</si>
  <si>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</si>
  <si>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</si>
  <si>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</si>
  <si>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</si>
  <si>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</si>
  <si>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</si>
  <si>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</si>
  <si>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</si>
  <si>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</si>
  <si>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</si>
  <si>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</si>
  <si>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</si>
  <si>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</si>
  <si>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</si>
  <si>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</si>
  <si>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</si>
  <si>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</si>
  <si>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</si>
  <si>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</si>
  <si>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</si>
  <si>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</si>
  <si>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</si>
  <si>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</si>
  <si>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</si>
  <si>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</si>
  <si>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</si>
  <si>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</si>
  <si>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</si>
  <si>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</si>
  <si>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</si>
  <si>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</si>
  <si>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</si>
  <si>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</si>
  <si>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</si>
  <si>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</si>
  <si>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</si>
  <si>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</si>
  <si>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</si>
  <si>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</si>
  <si>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</si>
  <si>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</si>
  <si>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</si>
  <si>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</si>
  <si>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</si>
  <si>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</si>
  <si>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</si>
  <si>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</si>
  <si>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</si>
  <si>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</si>
  <si>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</si>
  <si>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</si>
  <si>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</si>
  <si>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</si>
  <si>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</si>
  <si>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</si>
  <si>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</si>
  <si>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</si>
  <si>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</si>
  <si>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</si>
  <si>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</si>
  <si>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</si>
  <si>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</si>
  <si>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</si>
  <si>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</si>
  <si>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</si>
  <si>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</si>
  <si>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</si>
  <si>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</si>
  <si>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</si>
  <si>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</si>
  <si>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</si>
  <si>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</si>
  <si>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</si>
  <si>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</si>
  <si>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</si>
  <si>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</si>
  <si>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</si>
  <si>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</si>
  <si>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</si>
  <si>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</si>
  <si>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</si>
  <si>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</si>
  <si>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</si>
  <si>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</si>
  <si>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</si>
  <si>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</si>
  <si>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</si>
  <si>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</si>
  <si>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</si>
  <si>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</si>
  <si>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</si>
  <si>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</si>
  <si>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</si>
  <si>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</si>
  <si>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</si>
  <si>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</si>
  <si>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</si>
  <si>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</si>
  <si>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</si>
  <si>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</si>
  <si>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</si>
  <si>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</si>
  <si>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</si>
  <si>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</si>
  <si>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</si>
  <si>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</si>
  <si>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</si>
  <si>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</si>
  <si>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</si>
  <si>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</si>
  <si>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</si>
  <si>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</si>
  <si>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</si>
  <si>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</si>
  <si>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</si>
  <si>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</si>
  <si>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</si>
  <si>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</si>
  <si>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</si>
  <si>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</si>
  <si>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</si>
  <si>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</si>
  <si>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</si>
  <si>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</si>
  <si>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</si>
  <si>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</si>
  <si>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</si>
  <si>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</si>
  <si>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</si>
  <si>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</si>
  <si>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</si>
  <si>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</si>
  <si>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</si>
  <si>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</si>
  <si>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</si>
  <si>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</si>
  <si>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</si>
  <si>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</si>
  <si>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</si>
  <si>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</si>
  <si>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</si>
  <si>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</si>
  <si>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</si>
  <si>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</si>
  <si>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</si>
  <si>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</si>
  <si>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</si>
  <si>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</si>
  <si>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</si>
  <si>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</si>
  <si>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</si>
  <si>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</si>
  <si>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</si>
  <si>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</si>
  <si>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</si>
  <si>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</si>
  <si>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</si>
  <si>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</si>
  <si>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</si>
  <si>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</si>
  <si>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</si>
  <si>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</si>
  <si>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</si>
  <si>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</si>
  <si>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</si>
  <si>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</si>
  <si>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</si>
  <si>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</si>
  <si>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</si>
  <si>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</si>
  <si>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</si>
  <si>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</si>
  <si>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</si>
  <si>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</si>
  <si>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</si>
  <si>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</si>
  <si>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</si>
  <si>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</si>
  <si>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</si>
  <si>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</si>
  <si>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</si>
  <si>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</si>
  <si>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</si>
  <si>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</si>
  <si>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</si>
  <si>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</si>
  <si>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</si>
  <si>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</si>
  <si>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</si>
  <si>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</si>
  <si>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</si>
  <si>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</si>
  <si>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</si>
  <si>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</si>
  <si>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</si>
  <si>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</si>
  <si>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</si>
  <si>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</si>
  <si>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</si>
  <si>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</si>
  <si>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</si>
  <si>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</si>
  <si>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</si>
  <si>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</si>
  <si>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</si>
  <si>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</si>
  <si>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</si>
  <si>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</si>
  <si>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</si>
  <si>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</si>
  <si>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</si>
  <si>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</si>
  <si>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</si>
  <si>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</si>
  <si>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</si>
  <si>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</si>
  <si>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</si>
  <si>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</si>
  <si>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</si>
  <si>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</si>
  <si>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</si>
  <si>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</si>
  <si>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</si>
  <si>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</si>
  <si>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</si>
  <si>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</si>
  <si>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</si>
  <si>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</si>
  <si>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</si>
  <si>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</si>
  <si>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</si>
  <si>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</si>
  <si>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</si>
  <si>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</si>
  <si>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</si>
  <si>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</si>
  <si>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</si>
  <si>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</si>
  <si>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</si>
  <si>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</si>
  <si>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</si>
  <si>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</si>
  <si>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</si>
  <si>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</si>
  <si>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</si>
  <si>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</si>
  <si>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</si>
  <si>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</si>
  <si>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</si>
  <si>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</si>
  <si>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</si>
  <si>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</si>
  <si>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</si>
  <si>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</si>
  <si>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</si>
  <si>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</si>
  <si>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</si>
  <si>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</si>
  <si>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</si>
  <si>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</si>
  <si>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</si>
  <si>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</si>
  <si>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</si>
  <si>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</si>
  <si>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</si>
  <si>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</si>
  <si>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</si>
  <si>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</si>
  <si>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</si>
  <si>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</si>
  <si>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</si>
  <si>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</si>
  <si>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</si>
  <si>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</si>
  <si>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</si>
  <si>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</si>
  <si>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</si>
  <si>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</si>
  <si>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</si>
  <si>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</si>
  <si>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</si>
  <si>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</si>
  <si>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</si>
  <si>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</si>
  <si>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</si>
  <si>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</si>
  <si>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</si>
  <si>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</si>
  <si>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</si>
  <si>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</si>
  <si>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</si>
  <si>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</si>
  <si>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</si>
  <si>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</si>
  <si>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</si>
  <si>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</si>
  <si>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</si>
  <si>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</si>
  <si>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</si>
  <si>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</si>
  <si>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</si>
  <si>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</si>
  <si>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</si>
  <si>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</si>
  <si>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</si>
  <si>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</si>
  <si>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</si>
  <si>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</si>
  <si>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</si>
  <si>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</si>
  <si>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</si>
  <si>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</si>
  <si>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</si>
  <si>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</si>
  <si>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</si>
  <si>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</si>
  <si>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</si>
  <si>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</si>
  <si>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</si>
  <si>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</si>
  <si>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</si>
  <si>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</si>
  <si>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</si>
  <si>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</si>
  <si>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</si>
  <si>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</si>
  <si>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</si>
  <si>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</si>
  <si>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</si>
  <si>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</si>
  <si>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</si>
  <si>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</si>
  <si>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</si>
  <si>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</si>
  <si>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</si>
  <si>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</si>
  <si>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</si>
  <si>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</si>
  <si>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</si>
  <si>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</si>
  <si>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</si>
  <si>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</si>
  <si>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</si>
  <si>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</si>
  <si>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</si>
  <si>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</si>
  <si>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</si>
  <si>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</si>
  <si>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</si>
  <si>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</si>
  <si>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</si>
  <si>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</si>
  <si>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</si>
  <si>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</si>
  <si>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</si>
  <si>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</si>
  <si>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</si>
  <si>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</si>
  <si>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</si>
  <si>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</si>
  <si>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</si>
  <si>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</si>
  <si>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</si>
  <si>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</si>
  <si>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</si>
  <si>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</si>
  <si>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</si>
  <si>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</si>
  <si>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</si>
  <si>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</si>
  <si>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</si>
  <si>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</si>
  <si>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</si>
  <si>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</si>
  <si>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</si>
  <si>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</si>
  <si>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</si>
  <si>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</si>
  <si>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</si>
  <si>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</si>
  <si>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</si>
  <si>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</si>
  <si>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</si>
  <si>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</si>
  <si>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</si>
  <si>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</si>
  <si>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</si>
  <si>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</si>
  <si>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</si>
  <si>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</si>
  <si>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</si>
  <si>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</si>
  <si>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</si>
  <si>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</si>
  <si>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</si>
  <si>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</si>
  <si>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</si>
  <si>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</si>
  <si>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</si>
  <si>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</si>
  <si>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</si>
  <si>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</si>
  <si>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</si>
  <si>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</si>
  <si>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</si>
  <si>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</si>
  <si>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</si>
  <si>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</si>
  <si>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</si>
  <si>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</si>
  <si>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</si>
  <si>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</si>
  <si>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</si>
  <si>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</si>
  <si>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</si>
  <si>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</si>
  <si>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</si>
  <si>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</si>
  <si>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</si>
  <si>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</si>
  <si>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</si>
  <si>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</si>
  <si>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</si>
  <si>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</si>
  <si>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</si>
  <si>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</si>
  <si>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</si>
  <si>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</si>
  <si>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</si>
  <si>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</si>
  <si>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</si>
  <si>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</si>
  <si>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</si>
  <si>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</si>
  <si>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</si>
  <si>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</si>
  <si>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</si>
  <si>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</si>
  <si>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</si>
  <si>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</si>
  <si>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</si>
  <si>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</si>
  <si>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</si>
  <si>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</si>
  <si>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</si>
  <si>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</si>
  <si>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</si>
  <si>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</si>
  <si>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</si>
  <si>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</si>
  <si>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</si>
  <si>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</si>
  <si>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</si>
  <si>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</si>
  <si>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</si>
  <si>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</si>
  <si>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</si>
  <si>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</si>
  <si>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</si>
  <si>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</si>
  <si>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</si>
  <si>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</si>
  <si>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</si>
  <si>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</si>
  <si>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</si>
  <si>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</si>
  <si>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</si>
  <si>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</si>
  <si>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</si>
  <si>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</si>
  <si>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</si>
  <si>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</si>
  <si>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</si>
  <si>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</si>
  <si>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</si>
  <si>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</si>
  <si>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</si>
  <si>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</si>
  <si>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</si>
  <si>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</si>
  <si>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</si>
  <si>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</si>
  <si>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</si>
  <si>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</si>
  <si>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</si>
  <si>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</si>
  <si>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</si>
  <si>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</si>
  <si>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</si>
  <si>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</si>
  <si>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</si>
  <si>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</si>
  <si>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</si>
  <si>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</si>
  <si>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</si>
  <si>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</si>
  <si>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</si>
  <si>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</si>
  <si>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</si>
  <si>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</si>
  <si>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</si>
  <si>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</si>
  <si>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</si>
  <si>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</si>
  <si>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</si>
  <si>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</si>
  <si>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</si>
  <si>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</si>
  <si>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</si>
  <si>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</si>
  <si>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</si>
  <si>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</si>
  <si>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</si>
  <si>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</si>
  <si>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</si>
  <si>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</si>
  <si>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</si>
  <si>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</si>
  <si>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</si>
  <si>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</si>
  <si>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</si>
  <si>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</si>
  <si>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</si>
  <si>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</si>
  <si>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</si>
  <si>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</si>
  <si>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</si>
  <si>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</si>
  <si>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</si>
  <si>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</si>
  <si>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</si>
  <si>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</si>
  <si>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</si>
  <si>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</si>
  <si>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</si>
  <si>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</si>
  <si>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</si>
  <si>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</si>
  <si>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</si>
  <si>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</si>
  <si>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</si>
  <si>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</si>
  <si>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</si>
  <si>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</si>
  <si>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</si>
  <si>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</si>
  <si>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</si>
  <si>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</si>
  <si>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</si>
  <si>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</si>
  <si>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</si>
  <si>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</si>
  <si>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</si>
  <si>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</si>
  <si>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</si>
  <si>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</si>
  <si>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</si>
  <si>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</si>
  <si>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</si>
  <si>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</si>
  <si>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</si>
  <si>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</si>
  <si>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</si>
  <si>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</si>
  <si>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</si>
  <si>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</si>
  <si>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</si>
  <si>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</si>
  <si>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</si>
  <si>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</si>
  <si>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</si>
  <si>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</si>
  <si>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</si>
  <si>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</si>
  <si>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</si>
  <si>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</si>
  <si>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</si>
  <si>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</si>
  <si>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</si>
  <si>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</si>
  <si>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</si>
  <si>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</si>
  <si>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</si>
  <si>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</si>
  <si>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</si>
  <si>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</si>
  <si>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</si>
  <si>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</si>
  <si>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</si>
  <si>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</si>
  <si>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</si>
  <si>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</si>
  <si>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</si>
  <si>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</si>
  <si>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</si>
  <si>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</si>
  <si>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</si>
  <si>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</si>
  <si>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</si>
  <si>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</si>
  <si>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</si>
  <si>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</si>
  <si>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</si>
  <si>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</si>
  <si>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</si>
  <si>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</si>
  <si>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</si>
  <si>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</si>
  <si>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</si>
  <si>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</si>
  <si>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</si>
  <si>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</si>
  <si>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</si>
  <si>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</si>
  <si>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</si>
  <si>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</si>
  <si>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</si>
  <si>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</si>
  <si>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</si>
  <si>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</si>
  <si>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</si>
  <si>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</si>
  <si>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</si>
  <si>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</si>
  <si>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</si>
  <si>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</si>
  <si>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</si>
  <si>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</si>
  <si>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</si>
  <si>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</si>
  <si>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</si>
  <si>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</si>
  <si>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</si>
  <si>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</si>
  <si>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</si>
  <si>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</si>
  <si>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</si>
  <si>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</si>
  <si>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</si>
  <si>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</si>
  <si>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</si>
  <si>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</si>
  <si>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</si>
  <si>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</si>
  <si>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</si>
  <si>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</si>
  <si>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</si>
  <si>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</si>
  <si>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</si>
  <si>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</si>
  <si>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</si>
  <si>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</si>
  <si>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</si>
  <si>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</si>
  <si>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</si>
  <si>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</si>
  <si>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</si>
  <si>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</si>
  <si>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</si>
  <si>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</si>
  <si>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</si>
  <si>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</si>
  <si>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</si>
  <si>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</si>
  <si>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</si>
  <si>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</si>
  <si>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</si>
  <si>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</si>
  <si>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</si>
  <si>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</si>
  <si>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</si>
  <si>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</si>
  <si>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</si>
  <si>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</si>
  <si>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</si>
  <si>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</si>
  <si>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</si>
  <si>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</si>
  <si>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</si>
  <si>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</si>
  <si>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</si>
  <si>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</si>
  <si>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</si>
  <si>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</si>
  <si>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</si>
  <si>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</si>
  <si>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</si>
  <si>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</si>
  <si>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</si>
  <si>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</si>
  <si>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</si>
  <si>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</si>
  <si>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</si>
  <si>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</si>
  <si>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</si>
  <si>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</si>
  <si>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</si>
  <si>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</si>
  <si>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</si>
  <si>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</si>
  <si>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</si>
  <si>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</si>
  <si>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</si>
  <si>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</si>
  <si>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</si>
  <si>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</si>
  <si>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</si>
  <si>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</si>
  <si>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</si>
  <si>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</si>
  <si>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</si>
  <si>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</si>
  <si>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</si>
  <si>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</si>
  <si>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</si>
  <si>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</si>
  <si>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</si>
  <si>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</si>
  <si>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</si>
  <si>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</si>
  <si>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</si>
  <si>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</si>
  <si>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</si>
  <si>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</si>
  <si>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</si>
  <si>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</si>
  <si>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</si>
  <si>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</si>
  <si>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</si>
  <si>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</si>
  <si>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</si>
  <si>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</si>
  <si>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</si>
  <si>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</si>
  <si>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</si>
  <si>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</si>
  <si>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</si>
  <si>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</si>
  <si>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</si>
  <si>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</si>
  <si>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</si>
  <si>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</si>
  <si>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</si>
  <si>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</si>
  <si>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</si>
  <si>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</si>
  <si>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</si>
  <si>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</si>
  <si>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</si>
  <si>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</si>
  <si>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</si>
  <si>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</si>
  <si>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</si>
  <si>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</si>
  <si>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</si>
  <si>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</si>
  <si>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</si>
  <si>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</si>
  <si>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</si>
  <si>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</si>
  <si>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</si>
  <si>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</si>
  <si>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</si>
  <si>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</si>
  <si>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</si>
  <si>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</si>
  <si>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</si>
  <si>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</si>
  <si>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</si>
  <si>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</si>
  <si>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</si>
  <si>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</si>
  <si>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</si>
  <si>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</si>
  <si>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</si>
  <si>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</si>
  <si>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</si>
  <si>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</si>
  <si>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</si>
  <si>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</si>
  <si>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</si>
  <si>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</si>
  <si>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</si>
  <si>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</si>
  <si>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</si>
  <si>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</si>
  <si>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</si>
  <si>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</si>
  <si>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</si>
  <si>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</si>
  <si>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</si>
  <si>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</si>
  <si>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</si>
  <si>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</si>
  <si>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</si>
  <si>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</si>
  <si>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</si>
  <si>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</si>
  <si>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</si>
  <si>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</si>
  <si>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</si>
  <si>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</si>
  <si>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</si>
  <si>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</si>
  <si>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</si>
  <si>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</si>
  <si>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</si>
  <si>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</si>
  <si>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</si>
  <si>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</si>
  <si>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</si>
  <si>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</si>
  <si>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</si>
  <si>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</si>
  <si>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</si>
  <si>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</si>
  <si>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</si>
  <si>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</si>
  <si>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</si>
  <si>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</si>
  <si>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</si>
  <si>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</si>
  <si>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</si>
  <si>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</si>
  <si>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</si>
  <si>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</si>
  <si>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</si>
  <si>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</si>
  <si>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</si>
  <si>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</si>
  <si>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</si>
  <si>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</si>
  <si>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</si>
  <si>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</si>
  <si>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</si>
  <si>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</si>
  <si>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</si>
  <si>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</si>
  <si>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</si>
  <si>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</si>
  <si>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</si>
  <si>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</si>
  <si>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</si>
  <si>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</si>
  <si>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</si>
  <si>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</si>
  <si>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</si>
  <si>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</si>
  <si>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</si>
  <si>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</si>
  <si>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</si>
  <si>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</si>
  <si>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</si>
  <si>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</si>
  <si>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</si>
  <si>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</si>
  <si>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</si>
  <si>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</si>
  <si>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</si>
  <si>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</si>
  <si>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</si>
  <si>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</si>
  <si>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</si>
  <si>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</si>
  <si>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</si>
  <si>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</si>
  <si>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</si>
  <si>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</si>
  <si>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</si>
  <si>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</si>
  <si>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</si>
  <si>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</si>
  <si>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</si>
  <si>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</si>
  <si>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</si>
  <si>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</si>
  <si>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</si>
  <si>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</si>
  <si>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</si>
  <si>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</si>
  <si>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</si>
  <si>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</si>
  <si>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</si>
  <si>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</si>
  <si>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</si>
  <si>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</si>
  <si>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</si>
  <si>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</si>
  <si>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</si>
  <si>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</si>
  <si>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</si>
  <si>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</si>
  <si>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</si>
  <si>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</si>
  <si>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</si>
  <si>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</si>
  <si>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</si>
  <si>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</si>
  <si>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</si>
  <si>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</si>
  <si>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</si>
  <si>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</si>
  <si>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</si>
  <si>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</si>
  <si>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</si>
  <si>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</si>
  <si>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</si>
  <si>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</si>
  <si>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</si>
  <si>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</si>
  <si>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</si>
  <si>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</si>
  <si>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</si>
  <si>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</si>
  <si>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</si>
  <si>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</si>
  <si>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</si>
  <si>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</si>
  <si>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</si>
  <si>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</si>
  <si>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</si>
  <si>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</si>
  <si>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</si>
  <si>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</si>
  <si>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</si>
  <si>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</si>
  <si>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</si>
  <si>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</si>
  <si>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</si>
  <si>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</si>
  <si>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</si>
  <si>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</si>
  <si>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</si>
  <si>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</si>
  <si>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</si>
  <si>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</si>
  <si>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</si>
  <si>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</si>
  <si>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</si>
  <si>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</si>
  <si>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</si>
  <si>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</si>
  <si>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</si>
  <si>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</si>
  <si>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</si>
  <si>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</si>
  <si>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</si>
  <si>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</si>
  <si>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</si>
  <si>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</si>
  <si>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</si>
  <si>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</si>
  <si>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</si>
  <si>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</si>
  <si>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</si>
  <si>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</si>
  <si>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</si>
  <si>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</si>
  <si>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</si>
  <si>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</si>
  <si>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</si>
  <si>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</si>
  <si>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</si>
  <si>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</si>
  <si>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</si>
  <si>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</si>
  <si>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</si>
  <si>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</si>
  <si>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</si>
  <si>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</si>
  <si>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</si>
  <si>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</si>
  <si>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</si>
  <si>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</si>
  <si>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</si>
  <si>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</si>
  <si>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</si>
  <si>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</si>
  <si>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</si>
  <si>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</si>
  <si>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</si>
  <si>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</si>
  <si>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</si>
  <si>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</si>
  <si>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</si>
  <si>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</si>
  <si>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</si>
  <si>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</si>
  <si>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</si>
  <si>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</si>
  <si>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</si>
  <si>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</si>
  <si>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</si>
  <si>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</si>
  <si>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</si>
  <si>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</si>
  <si>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</si>
  <si>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</si>
  <si>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</si>
  <si>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</si>
  <si>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</si>
  <si>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</si>
  <si>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</si>
  <si>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</si>
  <si>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</si>
  <si>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</si>
  <si>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</si>
  <si>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</si>
  <si>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</si>
  <si>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</si>
  <si>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</si>
  <si>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</si>
  <si>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</si>
  <si>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</si>
  <si>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</si>
  <si>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</si>
  <si>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</si>
  <si>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</si>
  <si>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</si>
  <si>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</si>
  <si>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</si>
  <si>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</si>
  <si>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</si>
  <si>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</si>
  <si>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</si>
  <si>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</si>
  <si>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</si>
  <si>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</si>
  <si>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</si>
  <si>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</si>
  <si>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</si>
  <si>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</si>
  <si>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</si>
  <si>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</si>
  <si>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</si>
  <si>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</si>
  <si>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</si>
  <si>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</si>
  <si>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</si>
  <si>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</si>
  <si>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</si>
  <si>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</si>
  <si>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</si>
  <si>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</si>
  <si>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</si>
  <si>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</si>
  <si>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</si>
  <si>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</si>
  <si>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</si>
  <si>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</si>
  <si>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</si>
  <si>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</si>
  <si>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</si>
  <si>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</si>
  <si>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</si>
  <si>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</si>
  <si>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</si>
  <si>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</si>
  <si>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</si>
  <si>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</si>
  <si>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</si>
  <si>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</si>
  <si>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</si>
  <si>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</si>
  <si>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</si>
  <si>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</si>
  <si>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</si>
  <si>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</si>
  <si>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</si>
  <si>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</si>
  <si>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</si>
  <si>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</si>
  <si>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</si>
  <si>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</si>
  <si>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</si>
  <si>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</si>
  <si>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</si>
  <si>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</si>
  <si>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</si>
  <si>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</si>
  <si>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</si>
  <si>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</si>
  <si>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</si>
  <si>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</si>
  <si>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</si>
  <si>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</si>
  <si>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</si>
  <si>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</si>
  <si>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</si>
  <si>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</si>
  <si>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</si>
  <si>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</si>
  <si>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</si>
  <si>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</si>
  <si>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</si>
  <si>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</si>
  <si>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</si>
  <si>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</si>
  <si>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</si>
  <si>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</si>
  <si>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</si>
  <si>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</si>
  <si>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</si>
  <si>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</si>
  <si>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</si>
  <si>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</si>
  <si>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</si>
  <si>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</si>
  <si>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</si>
  <si>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</si>
  <si>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</si>
  <si>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</si>
  <si>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</si>
  <si>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</si>
  <si>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</si>
  <si>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</si>
  <si>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</si>
  <si>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</si>
  <si>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</si>
  <si>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</si>
  <si>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</si>
  <si>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</si>
  <si>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</si>
  <si>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</si>
  <si>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</si>
  <si>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</si>
  <si>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</si>
  <si>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</si>
  <si>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</si>
  <si>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</si>
  <si>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</si>
  <si>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</si>
  <si>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</si>
  <si>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</si>
  <si>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</si>
  <si>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</si>
  <si>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</si>
  <si>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</si>
  <si>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</si>
  <si>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</si>
  <si>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</si>
  <si>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</si>
  <si>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</si>
  <si>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</si>
  <si>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</si>
  <si>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</si>
  <si>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</si>
  <si>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</si>
  <si>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</si>
  <si>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</si>
  <si>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</si>
  <si>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</si>
  <si>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</si>
  <si>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</si>
  <si>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</si>
  <si>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</si>
  <si>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</si>
  <si>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</si>
  <si>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</si>
  <si>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</si>
  <si>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</si>
  <si>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</si>
  <si>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</si>
  <si>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</si>
  <si>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</si>
  <si>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</si>
  <si>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</si>
  <si>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</si>
  <si>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</si>
  <si>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</si>
  <si>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</si>
  <si>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</si>
  <si>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</si>
  <si>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</si>
  <si>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</si>
  <si>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</si>
  <si>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</si>
  <si>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</si>
  <si>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</si>
  <si>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</si>
  <si>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</si>
  <si>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</si>
  <si>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</si>
  <si>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</si>
  <si>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</si>
  <si>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</si>
  <si>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</si>
  <si>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</si>
  <si>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</si>
  <si>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</si>
  <si>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</si>
  <si>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</si>
  <si>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</si>
  <si>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</si>
  <si>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</si>
  <si>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</si>
  <si>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</si>
  <si>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</si>
  <si>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</si>
  <si>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</si>
  <si>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</si>
  <si>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</si>
  <si>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</si>
  <si>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</si>
  <si>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</si>
  <si>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</si>
  <si>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</si>
  <si>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</si>
  <si>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</si>
  <si>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</si>
  <si>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</si>
  <si>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</si>
  <si>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</si>
  <si>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</si>
  <si>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</si>
  <si>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</si>
  <si>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</si>
  <si>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</si>
  <si>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</si>
  <si>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</si>
  <si>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</si>
  <si>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</si>
  <si>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</si>
  <si>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</si>
  <si>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</si>
  <si>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</si>
  <si>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</si>
  <si>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</si>
  <si>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</si>
  <si>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</si>
  <si>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</si>
  <si>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</si>
  <si>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</si>
  <si>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</si>
  <si>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</si>
  <si>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</si>
  <si>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</si>
  <si>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</si>
  <si>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</si>
  <si>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</si>
  <si>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</si>
  <si>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</si>
  <si>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</si>
  <si>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</si>
  <si>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</si>
  <si>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</si>
  <si>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</si>
  <si>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</si>
  <si>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</si>
  <si>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</si>
  <si>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</si>
  <si>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</si>
  <si>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</si>
  <si>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</si>
  <si>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</si>
  <si>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</si>
  <si>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</si>
  <si>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</si>
  <si>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</si>
  <si>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</si>
  <si>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</si>
  <si>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</si>
  <si>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</si>
  <si>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</si>
  <si>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</si>
  <si>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</si>
  <si>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</si>
  <si>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</si>
  <si>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</si>
  <si>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</si>
  <si>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</si>
  <si>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</si>
  <si>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</si>
  <si>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</si>
  <si>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</si>
  <si>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</si>
  <si>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</si>
  <si>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</si>
  <si>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</si>
  <si>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</si>
  <si>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</si>
  <si>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</si>
  <si>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</si>
  <si>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</si>
  <si>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</si>
  <si>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</si>
  <si>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</si>
  <si>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</si>
  <si>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</si>
  <si>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</si>
  <si>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</si>
  <si>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</si>
  <si>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</si>
  <si>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</si>
  <si>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</si>
  <si>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</si>
  <si>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</si>
  <si>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</si>
  <si>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</si>
  <si>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</si>
  <si>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</si>
  <si>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</si>
  <si>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</si>
  <si>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</si>
  <si>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</si>
  <si>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</si>
  <si>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</si>
  <si>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</si>
  <si>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</si>
  <si>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</si>
  <si>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</si>
  <si>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</si>
  <si>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</si>
  <si>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</si>
  <si>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</si>
  <si>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</si>
  <si>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</si>
  <si>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</si>
  <si>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</si>
  <si>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</si>
  <si>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</si>
  <si>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</si>
  <si>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</si>
  <si>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</si>
  <si>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</si>
  <si>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</si>
  <si>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</si>
  <si>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</si>
  <si>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</si>
  <si>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</si>
  <si>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</si>
  <si>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</si>
  <si>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</si>
  <si>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</si>
  <si>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</si>
  <si>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</si>
  <si>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</si>
  <si>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</si>
  <si>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</si>
  <si>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</si>
  <si>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</si>
  <si>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</si>
  <si>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</si>
  <si>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</si>
  <si>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</si>
  <si>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</si>
  <si>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</si>
  <si>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</si>
  <si>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</si>
  <si>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</si>
  <si>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</si>
  <si>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</si>
  <si>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</si>
  <si>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</si>
  <si>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</si>
  <si>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</si>
  <si>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</si>
  <si>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</si>
  <si>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</si>
  <si>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</si>
  <si>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</si>
  <si>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</si>
  <si>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</si>
  <si>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</si>
  <si>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</si>
  <si>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</si>
  <si>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</si>
  <si>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</si>
  <si>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</si>
  <si>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</si>
  <si>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</si>
  <si>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</si>
  <si>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</si>
  <si>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</si>
  <si>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</si>
  <si>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</si>
  <si>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</si>
  <si>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</si>
  <si>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</si>
  <si>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</si>
  <si>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</si>
  <si>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</si>
  <si>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</si>
  <si>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</si>
  <si>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</si>
  <si>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</si>
  <si>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</si>
  <si>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</si>
  <si>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</si>
  <si>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</si>
  <si>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</si>
  <si>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</si>
  <si>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</si>
  <si>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</si>
  <si>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</si>
  <si>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</si>
  <si>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</si>
  <si>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</si>
  <si>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</si>
  <si>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</si>
  <si>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</si>
  <si>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</si>
  <si>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</si>
  <si>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</si>
  <si>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</si>
  <si>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</si>
  <si>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</si>
  <si>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</si>
  <si>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</si>
  <si>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</si>
  <si>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</si>
  <si>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</si>
  <si>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</si>
  <si>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</si>
  <si>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</si>
  <si>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</si>
  <si>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</si>
  <si>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</si>
  <si>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</si>
  <si>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</si>
  <si>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</si>
  <si>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</si>
  <si>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</si>
  <si>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</si>
  <si>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</si>
  <si>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</si>
  <si>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</si>
  <si>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</si>
  <si>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</si>
  <si>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</si>
  <si>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</si>
  <si>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</si>
  <si>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</si>
  <si>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</si>
  <si>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</si>
  <si>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</si>
  <si>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</si>
  <si>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</si>
  <si>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</si>
  <si>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</si>
  <si>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</si>
  <si>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</si>
  <si>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</si>
  <si>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</si>
  <si>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</si>
  <si>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</si>
  <si>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</si>
  <si>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</si>
  <si>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</si>
  <si>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</si>
  <si>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</si>
  <si>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</si>
  <si>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</si>
  <si>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</si>
  <si>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</si>
  <si>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</si>
  <si>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</si>
  <si>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</si>
  <si>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</si>
  <si>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</si>
  <si>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</si>
  <si>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</si>
  <si>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</si>
  <si>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</si>
  <si>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</si>
  <si>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</si>
  <si>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</si>
  <si>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</si>
  <si>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</si>
  <si>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</si>
  <si>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</si>
  <si>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</si>
  <si>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</si>
  <si>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</si>
  <si>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</si>
  <si>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</si>
  <si>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</si>
  <si>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</si>
  <si>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</si>
  <si>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</si>
  <si>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</si>
  <si>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</si>
  <si>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</si>
  <si>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</si>
  <si>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</si>
  <si>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</si>
  <si>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</si>
  <si>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</si>
  <si>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</si>
  <si>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</si>
  <si>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</si>
  <si>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</si>
  <si>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</si>
  <si>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</si>
  <si>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</si>
  <si>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</si>
  <si>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</si>
  <si>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</si>
  <si>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</si>
  <si>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</si>
  <si>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</si>
  <si>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</si>
  <si>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</si>
  <si>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</si>
  <si>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</si>
  <si>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</si>
  <si>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</si>
  <si>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</si>
  <si>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</si>
  <si>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</si>
  <si>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</si>
  <si>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</si>
  <si>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</si>
  <si>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</si>
  <si>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</si>
  <si>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</si>
  <si>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</si>
  <si>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</si>
  <si>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</si>
  <si>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</si>
  <si>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</si>
  <si>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</si>
  <si>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</si>
  <si>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</si>
  <si>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</si>
  <si>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</si>
  <si>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</si>
  <si>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</si>
  <si>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</si>
  <si>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</si>
  <si>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</si>
  <si>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</si>
  <si>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</si>
  <si>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</si>
  <si>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</si>
  <si>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</si>
  <si>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</si>
  <si>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</si>
  <si>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</si>
  <si>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</si>
  <si>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</si>
  <si>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</si>
  <si>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</si>
  <si>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</si>
  <si>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</si>
  <si>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</si>
  <si>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</si>
  <si>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</si>
  <si>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</si>
  <si>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</si>
  <si>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</si>
  <si>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</si>
  <si>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</si>
  <si>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</si>
  <si>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</si>
  <si>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</si>
  <si>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</si>
  <si>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</si>
  <si>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</si>
  <si>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</si>
  <si>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</si>
  <si>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</si>
  <si>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</si>
  <si>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</si>
  <si>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</si>
  <si>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</si>
  <si>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</si>
  <si>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</si>
  <si>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</si>
  <si>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</si>
  <si>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</si>
  <si>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</si>
  <si>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</si>
  <si>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</si>
  <si>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</si>
  <si>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</si>
  <si>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</si>
  <si>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</si>
  <si>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</si>
  <si>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</si>
  <si>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</si>
  <si>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</si>
  <si>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</si>
  <si>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</si>
  <si>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</si>
  <si>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</si>
  <si>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</si>
  <si>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</si>
  <si>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</si>
  <si>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</si>
  <si>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</si>
  <si>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</si>
  <si>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</si>
  <si>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</si>
  <si>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</si>
  <si>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</si>
  <si>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</si>
  <si>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</si>
  <si>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</si>
  <si>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</si>
  <si>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</si>
  <si>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</si>
  <si>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</si>
  <si>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</si>
  <si>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</si>
  <si>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</si>
  <si>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</si>
  <si>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</si>
  <si>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</si>
  <si>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</si>
  <si>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</si>
  <si>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</si>
  <si>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</si>
  <si>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</si>
  <si>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</si>
  <si>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</si>
  <si>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</si>
  <si>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</si>
  <si>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</si>
  <si>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</si>
  <si>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</si>
  <si>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</si>
  <si>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</si>
  <si>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</si>
  <si>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</si>
  <si>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</si>
  <si>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</si>
  <si>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</si>
  <si>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</si>
  <si>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</si>
  <si>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</si>
  <si>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</si>
  <si>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</si>
  <si>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</si>
  <si>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</si>
  <si>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</si>
  <si>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</si>
  <si>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</si>
  <si>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</si>
  <si>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</si>
  <si>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</si>
  <si>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</si>
  <si>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</si>
  <si>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</si>
  <si>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</si>
  <si>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</si>
  <si>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</si>
  <si>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</si>
  <si>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</si>
  <si>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</si>
  <si>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</si>
  <si>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</si>
  <si>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</si>
  <si>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</si>
  <si>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</si>
  <si>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</si>
  <si>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</si>
  <si>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</si>
  <si>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</si>
  <si>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</si>
  <si>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</si>
  <si>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</si>
  <si>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</si>
  <si>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</si>
  <si>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</si>
  <si>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</si>
  <si>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</si>
  <si>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</si>
  <si>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</si>
  <si>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</si>
  <si>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</si>
  <si>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</si>
  <si>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</si>
  <si>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</si>
  <si>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</si>
  <si>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</si>
  <si>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</si>
  <si>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</si>
  <si>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</si>
  <si>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</si>
  <si>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</si>
  <si>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</si>
  <si>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</si>
  <si>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</si>
  <si>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</si>
  <si>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</si>
  <si>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</si>
  <si>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</si>
  <si>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</si>
  <si>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</si>
  <si>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</si>
  <si>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</si>
  <si>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</si>
  <si>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</si>
  <si>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</si>
  <si>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</si>
  <si>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</si>
  <si>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</si>
  <si>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</si>
  <si>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</si>
  <si>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</si>
  <si>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</si>
  <si>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</si>
  <si>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</si>
  <si>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</si>
  <si>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</si>
  <si>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</si>
  <si>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</si>
  <si>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</si>
  <si>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</si>
  <si>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</si>
  <si>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</si>
  <si>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</si>
  <si>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</si>
  <si>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</si>
  <si>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</si>
  <si>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</si>
  <si>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</si>
  <si>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</si>
  <si>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</si>
  <si>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</si>
  <si>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</si>
  <si>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</si>
  <si>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</si>
  <si>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</si>
  <si>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</si>
  <si>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</si>
  <si>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</si>
  <si>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</si>
  <si>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</si>
  <si>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</si>
  <si>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</si>
  <si>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</si>
  <si>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</si>
  <si>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</si>
  <si>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</si>
  <si>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</si>
  <si>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</si>
  <si>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</si>
  <si>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</si>
  <si>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</si>
  <si>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</si>
  <si>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</si>
  <si>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</si>
  <si>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</si>
  <si>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</si>
  <si>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</si>
  <si>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</si>
  <si>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</si>
  <si>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</si>
  <si>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</si>
  <si>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</si>
  <si>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</si>
  <si>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</si>
  <si>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</si>
  <si>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</si>
  <si>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</si>
  <si>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</si>
  <si>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</si>
  <si>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</si>
  <si>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</si>
  <si>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</si>
  <si>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</si>
  <si>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</si>
  <si>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</si>
  <si>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</si>
  <si>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</si>
  <si>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</si>
  <si>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</si>
  <si>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</si>
  <si>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</si>
  <si>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</si>
  <si>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</si>
  <si>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</si>
  <si>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</si>
  <si>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</si>
  <si>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</si>
  <si>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</si>
  <si>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</si>
  <si>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</si>
  <si>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</si>
  <si>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</si>
  <si>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</si>
  <si>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</si>
  <si>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</si>
  <si>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</si>
  <si>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</si>
  <si>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</si>
  <si>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</si>
  <si>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</si>
  <si>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</si>
  <si>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</si>
  <si>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</si>
  <si>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</si>
  <si>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</si>
  <si>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</si>
  <si>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</si>
  <si>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</si>
  <si>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</si>
  <si>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</si>
  <si>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</si>
  <si>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</si>
  <si>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</si>
  <si>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</si>
  <si>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</si>
  <si>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</si>
  <si>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</si>
  <si>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</si>
  <si>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</si>
  <si>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</si>
  <si>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</si>
  <si>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</si>
  <si>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</si>
  <si>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</si>
  <si>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</si>
  <si>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</si>
  <si>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</si>
  <si>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</si>
  <si>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</si>
  <si>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</si>
  <si>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</si>
  <si>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</si>
  <si>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</si>
  <si>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</si>
  <si>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</si>
  <si>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</si>
  <si>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</si>
  <si>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</si>
  <si>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</si>
  <si>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</si>
  <si>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</si>
  <si>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</si>
  <si>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</si>
  <si>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</si>
  <si>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</si>
  <si>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</si>
  <si>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</si>
  <si>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</si>
  <si>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</si>
  <si>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</si>
  <si>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</si>
  <si>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</si>
  <si>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</si>
  <si>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</si>
  <si>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</si>
  <si>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</si>
  <si>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</si>
  <si>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</si>
  <si>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</si>
  <si>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</si>
  <si>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</si>
  <si>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</si>
  <si>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</si>
  <si>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</si>
  <si>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</si>
  <si>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</si>
  <si>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</si>
  <si>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</si>
  <si>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</si>
  <si>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</si>
  <si>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</si>
  <si>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</si>
  <si>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</si>
  <si>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</si>
  <si>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</si>
  <si>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</si>
  <si>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</si>
  <si>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</si>
  <si>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</si>
  <si>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</si>
  <si>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</si>
  <si>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</si>
  <si>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</si>
  <si>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</si>
  <si>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</si>
  <si>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</si>
  <si>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</si>
  <si>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</si>
  <si>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</si>
  <si>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</si>
  <si>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</si>
  <si>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</si>
  <si>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</si>
  <si>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</si>
  <si>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</si>
  <si>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</si>
  <si>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</si>
  <si>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</si>
  <si>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</si>
  <si>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</si>
  <si>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</si>
  <si>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</si>
  <si>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</si>
  <si>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</si>
  <si>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</si>
  <si>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</si>
  <si>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</si>
  <si>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</si>
  <si>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</si>
  <si>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</si>
  <si>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</si>
  <si>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</si>
  <si>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</si>
  <si>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</si>
  <si>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</si>
  <si>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</si>
  <si>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</si>
  <si>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</si>
  <si>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</si>
  <si>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</si>
  <si>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</si>
  <si>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</si>
  <si>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</si>
  <si>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</si>
  <si>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</si>
  <si>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</si>
  <si>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</si>
  <si>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</si>
  <si>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</si>
  <si>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</si>
  <si>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</si>
  <si>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</si>
  <si>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</si>
  <si>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</si>
  <si>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</si>
  <si>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</si>
  <si>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</si>
  <si>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</si>
  <si>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</si>
  <si>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</si>
  <si>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</si>
  <si>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</si>
  <si>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</si>
  <si>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</si>
  <si>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</si>
  <si>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</si>
  <si>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</si>
  <si>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</si>
  <si>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</si>
  <si>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</si>
  <si>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</si>
  <si>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</si>
  <si>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</si>
  <si>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</si>
  <si>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</si>
  <si>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</si>
  <si>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</si>
  <si>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</si>
  <si>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</si>
  <si>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</si>
  <si>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</si>
  <si>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</si>
  <si>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</si>
  <si>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</si>
  <si>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</si>
  <si>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</si>
  <si>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</si>
  <si>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</si>
  <si>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</si>
  <si>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</si>
  <si>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</si>
  <si>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</si>
  <si>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</si>
  <si>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</si>
  <si>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</si>
  <si>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</si>
  <si>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</si>
  <si>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</si>
  <si>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</si>
  <si>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</si>
  <si>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</si>
  <si>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</si>
  <si>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</si>
  <si>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</si>
  <si>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</si>
  <si>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</si>
  <si>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</si>
  <si>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</si>
  <si>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</si>
  <si>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</si>
  <si>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</si>
  <si>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</si>
  <si>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</si>
  <si>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</si>
  <si>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</si>
  <si>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</si>
  <si>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</si>
  <si>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</si>
  <si>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</si>
  <si>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</si>
  <si>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</si>
  <si>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</si>
  <si>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</si>
  <si>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</si>
  <si>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</si>
  <si>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</si>
  <si>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</si>
  <si>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</si>
  <si>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</si>
  <si>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</si>
  <si>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</si>
  <si>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</si>
  <si>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</si>
  <si>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</si>
  <si>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</si>
  <si>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</si>
  <si>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</si>
  <si>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</si>
  <si>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</si>
  <si>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</si>
  <si>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</si>
  <si>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</si>
  <si>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</si>
  <si>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</si>
  <si>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</si>
  <si>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</si>
  <si>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</si>
  <si>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</si>
  <si>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</si>
  <si>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</si>
  <si>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</si>
  <si>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</si>
  <si>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</si>
  <si>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</si>
  <si>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</si>
  <si>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</si>
  <si>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</si>
  <si>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</si>
  <si>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</si>
  <si>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</si>
  <si>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</si>
  <si>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</si>
  <si>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</si>
  <si>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</si>
  <si>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</si>
  <si>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</si>
  <si>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</si>
  <si>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</si>
  <si>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</si>
  <si>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</si>
  <si>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</si>
  <si>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</si>
  <si>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</si>
  <si>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</si>
  <si>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</si>
  <si>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</si>
  <si>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</si>
  <si>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</si>
  <si>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</si>
  <si>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</si>
  <si>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</si>
  <si>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</si>
  <si>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</si>
  <si>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</si>
  <si>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</si>
  <si>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</si>
  <si>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</si>
  <si>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</si>
  <si>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</si>
  <si>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</si>
  <si>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</si>
  <si>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</si>
  <si>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</si>
  <si>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</si>
  <si>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</si>
  <si>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</si>
  <si>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</si>
  <si>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</si>
  <si>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</si>
  <si>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</si>
  <si>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</si>
  <si>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</si>
  <si>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</si>
  <si>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</si>
  <si>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</si>
  <si>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</si>
  <si>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</si>
  <si>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</si>
  <si>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</si>
  <si>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</si>
  <si>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</si>
  <si>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</si>
  <si>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</si>
  <si>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</si>
  <si>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</si>
  <si>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</si>
  <si>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</si>
  <si>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</si>
  <si>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</si>
  <si>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</si>
  <si>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</si>
  <si>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</si>
  <si>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</si>
  <si>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</si>
  <si>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</si>
  <si>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</si>
  <si>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</si>
  <si>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</si>
  <si>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</si>
  <si>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</si>
  <si>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</si>
  <si>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</si>
  <si>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</si>
  <si>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</si>
  <si>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</si>
  <si>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</si>
  <si>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</si>
  <si>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</si>
  <si>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</si>
  <si>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</si>
  <si>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</si>
  <si>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</si>
  <si>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</si>
  <si>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</si>
  <si>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</si>
  <si>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</si>
  <si>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</si>
  <si>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</si>
  <si>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</si>
  <si>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</si>
  <si>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</si>
  <si>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</si>
  <si>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</si>
  <si>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</si>
  <si>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</si>
  <si>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</si>
  <si>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</si>
  <si>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</si>
  <si>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</si>
  <si>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</si>
  <si>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</si>
  <si>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</si>
  <si>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</si>
  <si>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</si>
  <si>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</si>
  <si>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</si>
  <si>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</si>
  <si>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</si>
  <si>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</si>
  <si>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</si>
  <si>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</si>
  <si>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</si>
  <si>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</si>
  <si>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</si>
  <si>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</si>
  <si>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</si>
  <si>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</si>
  <si>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</si>
  <si>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</si>
  <si>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</si>
  <si>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</si>
  <si>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</si>
  <si>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</si>
  <si>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</si>
  <si>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</si>
  <si>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</si>
  <si>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</si>
  <si>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</si>
  <si>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</si>
  <si>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</si>
  <si>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</si>
  <si>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</si>
  <si>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</si>
  <si>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</si>
  <si>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</si>
  <si>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</si>
  <si>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</si>
  <si>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</si>
  <si>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</si>
  <si>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</si>
  <si>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</si>
  <si>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</si>
  <si>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</si>
  <si>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</si>
  <si>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</si>
  <si>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</si>
  <si>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</si>
  <si>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</si>
  <si>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</si>
  <si>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</si>
  <si>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</si>
  <si>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</si>
  <si>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</si>
  <si>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</si>
  <si>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</si>
  <si>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</si>
  <si>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</si>
  <si>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</si>
  <si>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</si>
  <si>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</si>
  <si>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</si>
  <si>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</si>
  <si>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</si>
  <si>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</si>
  <si>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</si>
  <si>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</si>
  <si>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</si>
  <si>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</si>
  <si>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</si>
  <si>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</si>
  <si>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</si>
  <si>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</si>
  <si>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</si>
  <si>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</si>
  <si>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</si>
  <si>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</si>
  <si>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</si>
  <si>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</si>
  <si>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</si>
  <si>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</si>
  <si>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</si>
  <si>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</si>
  <si>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</si>
  <si>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</si>
  <si>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</si>
  <si>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</si>
  <si>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</si>
  <si>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</si>
  <si>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</si>
  <si>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</si>
  <si>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</si>
  <si>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</si>
  <si>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</si>
  <si>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</si>
  <si>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</si>
  <si>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</si>
  <si>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</si>
  <si>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</si>
  <si>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</si>
  <si>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</si>
  <si>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</si>
  <si>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</si>
  <si>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</si>
  <si>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</si>
  <si>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</si>
  <si>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</si>
  <si>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</si>
  <si>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</si>
  <si>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</si>
  <si>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</si>
  <si>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</si>
  <si>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</si>
  <si>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</si>
  <si>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</si>
  <si>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</si>
  <si>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</si>
  <si>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</si>
  <si>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</si>
  <si>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</si>
  <si>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</si>
  <si>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</si>
  <si>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</si>
  <si>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</si>
  <si>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</si>
  <si>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</si>
  <si>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</si>
  <si>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</si>
  <si>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</si>
  <si>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</si>
  <si>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</si>
  <si>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</si>
  <si>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</si>
  <si>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</si>
  <si>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</si>
  <si>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</si>
  <si>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</si>
  <si>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</si>
  <si>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</si>
  <si>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</si>
  <si>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</si>
  <si>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</si>
  <si>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</si>
  <si>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</si>
  <si>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</si>
  <si>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</si>
  <si>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</si>
  <si>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</si>
  <si>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</si>
  <si>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</si>
  <si>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</si>
  <si>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</si>
  <si>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</si>
  <si>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</si>
  <si>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</si>
  <si>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</si>
  <si>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</si>
  <si>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</si>
  <si>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</si>
  <si>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</si>
  <si>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</si>
  <si>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</si>
  <si>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</si>
  <si>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</si>
  <si>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</si>
  <si>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</si>
  <si>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</si>
  <si>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</si>
  <si>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</si>
  <si>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</si>
  <si>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</si>
  <si>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</si>
  <si>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</si>
  <si>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</si>
  <si>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</si>
  <si>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</si>
  <si>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</si>
  <si>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</si>
  <si>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</si>
  <si>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</si>
  <si>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</si>
  <si>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</si>
  <si>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</si>
  <si>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</si>
  <si>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</si>
  <si>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</si>
  <si>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</si>
  <si>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</si>
  <si>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</si>
  <si>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</si>
  <si>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</si>
  <si>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</si>
  <si>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</si>
  <si>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</si>
  <si>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</si>
  <si>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</si>
  <si>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</si>
  <si>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</si>
  <si>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</si>
  <si>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</si>
  <si>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</si>
  <si>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</si>
  <si>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</si>
  <si>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</si>
  <si>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</si>
  <si>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</si>
  <si>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</si>
  <si>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</si>
  <si>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</si>
  <si>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</si>
  <si>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</si>
  <si>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</si>
  <si>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</si>
  <si>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</si>
  <si>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</si>
  <si>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</si>
  <si>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</si>
  <si>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</si>
  <si>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</si>
  <si>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</si>
  <si>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</si>
  <si>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</si>
  <si>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</si>
  <si>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</si>
  <si>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</si>
  <si>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</si>
  <si>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</si>
  <si>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</si>
  <si>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</si>
  <si>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</si>
  <si>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</si>
  <si>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</si>
  <si>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</si>
  <si>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</si>
  <si>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</si>
  <si>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</si>
  <si>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</si>
  <si>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</si>
  <si>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</si>
  <si>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</si>
  <si>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</si>
  <si>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</si>
  <si>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</si>
  <si>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</si>
  <si>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</si>
  <si>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</si>
  <si>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</si>
  <si>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</si>
  <si>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</si>
  <si>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</si>
  <si>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</si>
  <si>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</si>
  <si>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</si>
  <si>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</si>
  <si>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</si>
  <si>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</si>
  <si>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</si>
  <si>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</si>
  <si>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</si>
  <si>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</si>
  <si>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</si>
  <si>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</si>
  <si>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</si>
  <si>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</si>
  <si>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</si>
  <si>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</si>
  <si>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</si>
  <si>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</si>
  <si>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</si>
  <si>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</si>
  <si>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</si>
  <si>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</si>
  <si>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</si>
  <si>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</si>
  <si>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</si>
  <si>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</si>
  <si>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</si>
  <si>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</si>
  <si>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</si>
  <si>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</si>
  <si>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</si>
  <si>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</si>
  <si>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</si>
  <si>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</si>
  <si>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</si>
  <si>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</si>
  <si>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</si>
  <si>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</si>
  <si>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</si>
  <si>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</si>
  <si>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</si>
  <si>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</si>
  <si>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</si>
  <si>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</si>
  <si>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</si>
  <si>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</si>
  <si>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</si>
  <si>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</si>
  <si>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</si>
  <si>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</si>
  <si>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</si>
  <si>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</si>
  <si>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</si>
  <si>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</si>
  <si>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</si>
  <si>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</si>
  <si>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</si>
  <si>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</si>
  <si>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</si>
  <si>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</si>
  <si>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</si>
  <si>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</si>
  <si>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</si>
  <si>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</si>
  <si>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</si>
  <si>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</si>
  <si>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</si>
  <si>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</si>
  <si>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</si>
  <si>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</si>
  <si>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</si>
  <si>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</si>
  <si>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</si>
  <si>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</si>
  <si>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</si>
  <si>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</si>
  <si>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</si>
  <si>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</si>
  <si>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</si>
  <si>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</si>
  <si>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</si>
  <si>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</si>
  <si>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</si>
  <si>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</si>
  <si>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</si>
  <si>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</si>
  <si>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</si>
  <si>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</si>
  <si>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</si>
  <si>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</si>
  <si>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</si>
  <si>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</si>
  <si>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</si>
  <si>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</si>
  <si>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</si>
  <si>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</si>
  <si>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</si>
  <si>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</si>
  <si>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</si>
  <si>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</si>
  <si>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</si>
  <si>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</si>
  <si>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</si>
  <si>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</si>
  <si>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</si>
  <si>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</si>
  <si>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</si>
  <si>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</si>
  <si>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</si>
  <si>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</si>
  <si>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</si>
  <si>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</si>
  <si>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</si>
  <si>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</si>
  <si>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</si>
  <si>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</si>
  <si>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</si>
  <si>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</si>
  <si>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</si>
  <si>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</si>
  <si>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</si>
  <si>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</si>
  <si>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</si>
  <si>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</si>
  <si>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</si>
  <si>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</si>
  <si>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</si>
  <si>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</si>
  <si>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</si>
  <si>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</si>
  <si>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</si>
  <si>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</si>
  <si>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</si>
  <si>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</si>
  <si>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</si>
  <si>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</si>
  <si>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</si>
  <si>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</si>
  <si>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</si>
  <si>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</si>
  <si>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</si>
  <si>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</si>
  <si>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</si>
  <si>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</si>
  <si>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</si>
  <si>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</si>
  <si>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</si>
  <si>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</si>
  <si>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</si>
  <si>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</si>
  <si>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</si>
  <si>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</si>
  <si>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</si>
  <si>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</si>
  <si>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</si>
  <si>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</si>
  <si>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</si>
  <si>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</si>
  <si>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</si>
  <si>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</si>
  <si>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</si>
  <si>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</si>
  <si>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</si>
  <si>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</si>
  <si>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</si>
  <si>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</si>
  <si>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</si>
  <si>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</si>
  <si>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</si>
  <si>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</si>
  <si>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</si>
  <si>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</si>
  <si>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</si>
  <si>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</si>
  <si>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</si>
  <si>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</si>
  <si>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</si>
  <si>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</si>
  <si>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</si>
  <si>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</si>
  <si>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</si>
  <si>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</si>
  <si>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</si>
  <si>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</si>
  <si>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</si>
  <si>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</si>
  <si>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</si>
  <si>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</si>
  <si>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</si>
  <si>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</si>
  <si>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</si>
  <si>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</si>
  <si>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</si>
  <si>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</si>
  <si>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</si>
  <si>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</si>
  <si>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</si>
  <si>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</si>
  <si>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</si>
  <si>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</si>
  <si>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</si>
  <si>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</si>
  <si>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</si>
  <si>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</si>
  <si>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</si>
  <si>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</si>
  <si>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</si>
  <si>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</si>
  <si>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</si>
  <si>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</si>
  <si>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</si>
  <si>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</si>
  <si>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</si>
  <si>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</si>
  <si>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</si>
  <si>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</si>
  <si>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</si>
  <si>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</si>
  <si>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</si>
  <si>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</si>
  <si>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</si>
  <si>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</si>
  <si>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</si>
  <si>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</si>
  <si>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</si>
  <si>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</si>
  <si>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</si>
  <si>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</si>
  <si>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</si>
  <si>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</si>
  <si>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</si>
  <si>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</si>
  <si>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</si>
  <si>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</si>
  <si>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</si>
  <si>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</si>
  <si>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</si>
  <si>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</si>
  <si>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</si>
  <si>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</si>
  <si>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</si>
  <si>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</si>
  <si>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</si>
  <si>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</si>
  <si>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</si>
  <si>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</si>
  <si>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</si>
  <si>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</si>
  <si>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</si>
  <si>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</si>
  <si>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</si>
  <si>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</si>
  <si>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</si>
  <si>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</si>
  <si>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</si>
  <si>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</si>
  <si>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</si>
  <si>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</si>
  <si>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</si>
  <si>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</si>
  <si>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</si>
  <si>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</si>
  <si>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</si>
  <si>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</si>
  <si>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</si>
  <si>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</si>
  <si>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</si>
  <si>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</si>
  <si>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</si>
  <si>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</si>
  <si>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</si>
  <si>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</si>
  <si>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</si>
  <si>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</si>
  <si>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</si>
  <si>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</si>
  <si>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</si>
  <si>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</si>
  <si>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</si>
  <si>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</si>
  <si>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</si>
  <si>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</si>
  <si>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</si>
  <si>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</si>
  <si>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</si>
  <si>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</si>
  <si>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</si>
  <si>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</si>
  <si>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</si>
  <si>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</si>
  <si>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</si>
  <si>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</si>
  <si>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</si>
  <si>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</si>
  <si>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</si>
  <si>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</si>
  <si>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</si>
  <si>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</si>
  <si>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</si>
  <si>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</si>
  <si>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</si>
  <si>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</si>
  <si>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</si>
  <si>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</si>
  <si>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</si>
  <si>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</si>
  <si>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</si>
  <si>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</si>
  <si>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</si>
  <si>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</si>
  <si>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</si>
  <si>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</si>
  <si>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</si>
  <si>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</si>
  <si>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</si>
  <si>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</si>
  <si>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</si>
  <si>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</si>
  <si>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</si>
  <si>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</si>
  <si>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</si>
  <si>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</si>
  <si>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</si>
  <si>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</si>
  <si>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</si>
  <si>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</si>
  <si>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</si>
  <si>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</si>
  <si>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</si>
  <si>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</si>
  <si>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</si>
  <si>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</si>
  <si>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</si>
  <si>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</si>
  <si>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</si>
  <si>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</si>
  <si>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</si>
  <si>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</si>
  <si>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</si>
  <si>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</si>
  <si>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</si>
  <si>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</si>
  <si>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</si>
  <si>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</si>
  <si>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</si>
  <si>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</si>
  <si>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</si>
  <si>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</si>
  <si>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</si>
  <si>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</si>
  <si>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</si>
  <si>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</si>
  <si>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</si>
  <si>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</si>
  <si>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</si>
  <si>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</si>
  <si>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</si>
  <si>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</si>
  <si>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</si>
  <si>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</si>
  <si>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</si>
  <si>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</si>
  <si>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</si>
  <si>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</si>
  <si>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</si>
  <si>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</si>
  <si>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</si>
  <si>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</si>
  <si>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</si>
  <si>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</si>
  <si>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</si>
  <si>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</si>
  <si>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</si>
  <si>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</si>
  <si>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</si>
  <si>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</si>
  <si>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</si>
  <si>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</si>
  <si>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</si>
  <si>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</si>
  <si>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</si>
  <si>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</si>
  <si>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</si>
  <si>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</si>
  <si>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</si>
  <si>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</si>
  <si>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</si>
  <si>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</si>
  <si>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</si>
  <si>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</si>
  <si>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</si>
  <si>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</si>
  <si>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</si>
  <si>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</si>
  <si>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</si>
  <si>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</si>
  <si>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</si>
  <si>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</si>
  <si>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</si>
  <si>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</si>
  <si>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</si>
  <si>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</si>
  <si>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</si>
  <si>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</si>
  <si>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</si>
  <si>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</si>
  <si>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</si>
  <si>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</si>
  <si>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</si>
  <si>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</si>
  <si>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</si>
  <si>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</si>
  <si>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</si>
  <si>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</si>
  <si>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</si>
  <si>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</si>
  <si>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</si>
  <si>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</si>
  <si>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</si>
  <si>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</si>
  <si>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</si>
  <si>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</si>
  <si>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</si>
  <si>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</si>
  <si>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</si>
  <si>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</si>
  <si>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</si>
  <si>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</si>
  <si>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</si>
  <si>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</si>
  <si>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</si>
  <si>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</si>
  <si>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</si>
  <si>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</si>
  <si>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</si>
  <si>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</si>
  <si>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</si>
  <si>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</si>
  <si>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</si>
  <si>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</si>
  <si>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</si>
  <si>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</si>
  <si>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</si>
  <si>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</si>
  <si>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</si>
  <si>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</si>
  <si>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</si>
  <si>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</si>
  <si>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</si>
  <si>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</si>
  <si>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</si>
  <si>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</si>
  <si>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</si>
  <si>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</si>
  <si>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</si>
  <si>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</si>
  <si>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</si>
  <si>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</si>
  <si>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</si>
  <si>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</si>
  <si>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</si>
  <si>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</si>
  <si>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</si>
  <si>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</si>
  <si>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</si>
  <si>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</si>
  <si>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</si>
  <si>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</si>
  <si>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</si>
  <si>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</si>
  <si>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</si>
  <si>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</si>
  <si>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</si>
  <si>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</si>
  <si>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</si>
  <si>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</si>
  <si>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</si>
  <si>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</si>
  <si>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</si>
  <si>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</si>
  <si>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</si>
  <si>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</si>
  <si>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</si>
  <si>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</si>
  <si>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</si>
  <si>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</si>
  <si>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</si>
  <si>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</si>
  <si>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</si>
  <si>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</si>
  <si>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</si>
  <si>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</si>
  <si>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</si>
  <si>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</si>
  <si>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</si>
  <si>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</si>
  <si>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</si>
  <si>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</si>
  <si>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</si>
  <si>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</si>
  <si>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</si>
  <si>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</si>
  <si>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</si>
  <si>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</si>
  <si>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</si>
  <si>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</si>
  <si>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</si>
  <si>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</si>
  <si>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</si>
  <si>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</si>
  <si>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</si>
  <si>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</si>
  <si>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</si>
  <si>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</si>
  <si>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</si>
  <si>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</si>
  <si>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</si>
  <si>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</si>
  <si>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</si>
  <si>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</si>
  <si>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</si>
  <si>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</si>
  <si>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</si>
  <si>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</si>
  <si>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</si>
  <si>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</si>
  <si>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</si>
  <si>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</si>
  <si>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</si>
  <si>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</si>
  <si>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</si>
  <si>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</si>
  <si>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</si>
  <si>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</si>
  <si>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</si>
  <si>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</si>
  <si>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</si>
  <si>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</si>
  <si>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</si>
  <si>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</si>
  <si>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</si>
  <si>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</si>
  <si>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</si>
  <si>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</si>
  <si>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</si>
  <si>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</si>
  <si>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</si>
  <si>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</si>
  <si>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</si>
  <si>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</si>
  <si>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</si>
  <si>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</si>
  <si>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</si>
  <si>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</si>
  <si>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</si>
  <si>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</si>
  <si>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</si>
  <si>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</si>
  <si>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</si>
  <si>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</si>
  <si>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</si>
  <si>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</si>
  <si>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</si>
  <si>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</si>
  <si>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</si>
  <si>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</si>
  <si>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</si>
  <si>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</si>
  <si>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</si>
  <si>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</si>
  <si>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</si>
  <si>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</si>
  <si>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</si>
  <si>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</si>
  <si>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</si>
  <si>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</si>
  <si>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</si>
  <si>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</si>
  <si>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</si>
  <si>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</si>
  <si>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</si>
  <si>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</si>
  <si>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</si>
  <si>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</si>
  <si>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</si>
  <si>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</si>
  <si>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</si>
  <si>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</si>
  <si>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</si>
  <si>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</si>
  <si>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</si>
  <si>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</si>
  <si>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</si>
  <si>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</si>
  <si>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</si>
  <si>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</si>
  <si>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</si>
  <si>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</si>
  <si>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</si>
  <si>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</si>
  <si>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</si>
  <si>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</si>
  <si>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</si>
  <si>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</si>
  <si>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</si>
  <si>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</si>
  <si>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</si>
  <si>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</si>
  <si>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</si>
  <si>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</si>
  <si>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</si>
  <si>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</si>
  <si>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</si>
  <si>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</si>
  <si>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</si>
  <si>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</si>
  <si>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</si>
  <si>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</si>
  <si>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</si>
  <si>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</si>
  <si>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</si>
  <si>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</si>
  <si>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</si>
  <si>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</si>
  <si>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</si>
  <si>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</si>
  <si>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</si>
  <si>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</si>
  <si>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</si>
  <si>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</si>
  <si>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</si>
  <si>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</si>
  <si>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</si>
  <si>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</si>
  <si>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</si>
  <si>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</si>
  <si>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</si>
  <si>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</si>
  <si>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</si>
  <si>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</si>
  <si>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</si>
  <si>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</si>
  <si>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</si>
  <si>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</si>
  <si>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</si>
  <si>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</si>
  <si>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</si>
  <si>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</si>
  <si>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</si>
  <si>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</si>
  <si>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</si>
  <si>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</si>
  <si>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</si>
  <si>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</si>
  <si>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</si>
  <si>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</si>
  <si>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</si>
  <si>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</si>
  <si>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</si>
  <si>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</si>
  <si>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</si>
  <si>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</si>
  <si>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</si>
  <si>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</si>
  <si>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</si>
  <si>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</si>
  <si>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</si>
  <si>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</si>
  <si>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</si>
  <si>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</si>
  <si>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</si>
  <si>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</si>
  <si>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</si>
  <si>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</si>
  <si>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</si>
  <si>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</si>
  <si>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</si>
  <si>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</si>
  <si>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</si>
  <si>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</si>
  <si>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</si>
  <si>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</si>
  <si>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</si>
  <si>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</si>
  <si>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</si>
  <si>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</si>
  <si>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</si>
  <si>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</si>
  <si>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</si>
  <si>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</si>
  <si>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</si>
  <si>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</si>
  <si>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</si>
  <si>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</si>
  <si>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</si>
  <si>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</si>
  <si>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</si>
  <si>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</si>
  <si>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</si>
  <si>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</si>
  <si>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</si>
  <si>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</si>
  <si>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</si>
  <si>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</si>
  <si>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</si>
  <si>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</si>
  <si>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</si>
  <si>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</si>
  <si>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</si>
  <si>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</si>
  <si>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</si>
  <si>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</si>
  <si>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</si>
  <si>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</si>
  <si>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</si>
  <si>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</si>
  <si>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</si>
  <si>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</si>
  <si>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</si>
  <si>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</si>
  <si>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</si>
  <si>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</si>
  <si>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</si>
  <si>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</si>
  <si>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</si>
  <si>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</si>
  <si>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</si>
  <si>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</si>
  <si>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</si>
  <si>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</si>
  <si>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</si>
  <si>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</si>
  <si>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</si>
  <si>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</si>
  <si>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</si>
  <si>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</si>
  <si>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</si>
  <si>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</si>
  <si>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</si>
  <si>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</si>
  <si>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</si>
  <si>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</si>
  <si>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</si>
  <si>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</si>
  <si>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</si>
  <si>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</si>
  <si>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</si>
  <si>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</si>
  <si>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</si>
  <si>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</si>
  <si>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</si>
  <si>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</si>
  <si>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</si>
  <si>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</si>
  <si>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</si>
  <si>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</si>
  <si>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</si>
  <si>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</si>
  <si>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</si>
  <si>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</si>
  <si>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</si>
  <si>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</si>
  <si>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</si>
  <si>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</si>
  <si>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</si>
  <si>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</si>
  <si>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</si>
  <si>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</si>
  <si>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</si>
  <si>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</si>
  <si>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</si>
  <si>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</si>
  <si>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</si>
  <si>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</si>
  <si>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</si>
  <si>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</si>
  <si>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</si>
  <si>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</si>
  <si>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</si>
  <si>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</si>
  <si>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</si>
  <si>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</si>
  <si>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</si>
  <si>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</si>
  <si>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</si>
  <si>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</si>
  <si>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</si>
  <si>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</si>
  <si>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</si>
  <si>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</si>
  <si>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</si>
  <si>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</si>
  <si>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</si>
  <si>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</si>
  <si>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</si>
  <si>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</si>
  <si>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</si>
  <si>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</si>
  <si>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</si>
  <si>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</si>
  <si>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</si>
  <si>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</si>
  <si>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</si>
  <si>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</si>
  <si>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</si>
  <si>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</si>
  <si>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</si>
  <si>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</si>
  <si>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</si>
  <si>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</si>
  <si>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</si>
  <si>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</si>
  <si>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</si>
  <si>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</si>
  <si>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</si>
  <si>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</si>
  <si>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</si>
  <si>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</si>
  <si>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</si>
  <si>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</si>
  <si>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</si>
  <si>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</si>
  <si>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</si>
  <si>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</si>
  <si>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</si>
  <si>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</si>
  <si>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</si>
  <si>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</si>
  <si>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</si>
  <si>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</si>
  <si>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</si>
  <si>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</si>
  <si>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</si>
  <si>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</si>
  <si>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</si>
  <si>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</si>
  <si>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</si>
  <si>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</si>
  <si>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</si>
  <si>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</si>
  <si>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</si>
  <si>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</si>
  <si>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</si>
  <si>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</si>
  <si>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</si>
  <si>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</si>
  <si>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</si>
  <si>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</si>
  <si>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</si>
  <si>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</si>
  <si>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</si>
  <si>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</si>
  <si>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</si>
  <si>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</si>
  <si>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</si>
  <si>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</si>
  <si>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</si>
  <si>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</si>
  <si>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</si>
  <si>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</si>
  <si>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</si>
  <si>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</si>
  <si>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</si>
  <si>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</si>
  <si>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</si>
  <si>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</si>
  <si>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</si>
  <si>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</si>
  <si>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</si>
  <si>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</si>
  <si>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</si>
  <si>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</si>
  <si>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</si>
  <si>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</si>
  <si>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</si>
  <si>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</si>
  <si>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</si>
  <si>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</si>
  <si>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</si>
  <si>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</si>
  <si>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</si>
  <si>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</si>
  <si>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</si>
  <si>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</si>
  <si>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</si>
  <si>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</si>
  <si>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</si>
  <si>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</si>
  <si>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</si>
  <si>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</si>
  <si>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</si>
  <si>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</si>
  <si>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</si>
  <si>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</si>
  <si>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</si>
  <si>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</si>
  <si>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</si>
  <si>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</si>
  <si>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</si>
  <si>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</si>
  <si>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</si>
  <si>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</si>
  <si>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</si>
  <si>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</si>
  <si>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</si>
  <si>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</si>
  <si>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</si>
  <si>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</si>
  <si>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</si>
  <si>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</si>
  <si>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</si>
  <si>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</si>
  <si>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</si>
  <si>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</si>
  <si>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</si>
  <si>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</si>
  <si>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</si>
  <si>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</si>
  <si>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</si>
  <si>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</si>
  <si>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</si>
  <si>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</si>
  <si>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</si>
  <si>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</si>
  <si>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</si>
  <si>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</si>
  <si>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</si>
  <si>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</si>
  <si>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</si>
  <si>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</si>
  <si>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</si>
  <si>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</si>
  <si>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</si>
  <si>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</si>
  <si>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</si>
  <si>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</si>
  <si>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</si>
  <si>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</si>
  <si>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</si>
  <si>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</si>
  <si>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</si>
  <si>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</si>
  <si>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</si>
  <si>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</si>
  <si>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</si>
  <si>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</si>
  <si>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</si>
  <si>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</si>
  <si>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</si>
  <si>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</si>
  <si>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</si>
  <si>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</si>
  <si>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</si>
  <si>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</si>
  <si>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</si>
  <si>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</si>
  <si>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</si>
  <si>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</si>
  <si>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</si>
  <si>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</si>
  <si>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</si>
  <si>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</si>
  <si>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</si>
  <si>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</si>
  <si>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</si>
  <si>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</si>
  <si>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</si>
  <si>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</si>
  <si>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</si>
  <si>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</si>
  <si>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</si>
  <si>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</si>
  <si>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</si>
  <si>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</si>
  <si>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</si>
  <si>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</si>
  <si>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</si>
  <si>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</si>
  <si>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</si>
  <si>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</si>
  <si>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</si>
  <si>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</si>
  <si>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</si>
  <si>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</si>
  <si>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</si>
  <si>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</si>
  <si>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</si>
  <si>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</si>
  <si>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</si>
  <si>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</si>
  <si>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</si>
  <si>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</si>
  <si>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</si>
  <si>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</si>
  <si>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</si>
  <si>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</si>
  <si>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</si>
  <si>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</si>
  <si>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</si>
  <si>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</si>
  <si>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</si>
  <si>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</si>
  <si>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</si>
  <si>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</si>
  <si>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</si>
  <si>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</si>
  <si>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</si>
  <si>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</si>
  <si>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</si>
  <si>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</si>
  <si>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</si>
  <si>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</si>
  <si>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</si>
  <si>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</si>
  <si>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</si>
  <si>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</si>
  <si>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</si>
  <si>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</si>
  <si>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</si>
  <si>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</si>
  <si>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</si>
  <si>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</si>
  <si>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</si>
  <si>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</si>
  <si>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</si>
  <si>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</si>
  <si>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</si>
  <si>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</si>
  <si>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</si>
  <si>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</si>
  <si>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</si>
  <si>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</si>
  <si>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</si>
  <si>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</si>
  <si>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</si>
  <si>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</si>
  <si>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</si>
  <si>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</si>
  <si>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</si>
  <si>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</si>
  <si>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</si>
  <si>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</si>
  <si>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</si>
  <si>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</si>
  <si>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</si>
  <si>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</si>
  <si>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</si>
  <si>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</si>
  <si>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</si>
  <si>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</si>
  <si>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</si>
  <si>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</si>
  <si>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</si>
  <si>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</si>
  <si>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</si>
  <si>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</si>
  <si>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</si>
  <si>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</si>
  <si>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</si>
  <si>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</si>
  <si>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</si>
  <si>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</si>
  <si>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</si>
  <si>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</si>
  <si>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</si>
  <si>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</si>
  <si>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</si>
  <si>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</si>
  <si>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</si>
  <si>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</si>
  <si>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</si>
  <si>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</si>
  <si>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</si>
  <si>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</si>
  <si>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</si>
  <si>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</si>
  <si>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</si>
  <si>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</si>
  <si>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</si>
  <si>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</si>
  <si>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</si>
  <si>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</si>
  <si>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</si>
  <si>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</si>
  <si>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</si>
  <si>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</si>
  <si>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</si>
  <si>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</si>
  <si>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</si>
  <si>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</si>
  <si>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</si>
  <si>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</si>
  <si>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</si>
  <si>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</si>
  <si>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</si>
  <si>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</si>
  <si>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</si>
  <si>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</si>
  <si>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</si>
  <si>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</si>
  <si>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</si>
  <si>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</si>
  <si>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</si>
  <si>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</si>
  <si>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</si>
  <si>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</si>
  <si>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</si>
  <si>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</si>
  <si>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</si>
  <si>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</si>
  <si>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</si>
  <si>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</si>
  <si>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</si>
  <si>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</si>
  <si>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</si>
  <si>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</si>
  <si>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</si>
  <si>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</si>
  <si>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</si>
  <si>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</si>
  <si>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</si>
  <si>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</si>
  <si>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</si>
  <si>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</si>
  <si>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</si>
  <si>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</si>
  <si>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</si>
  <si>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</si>
  <si>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</si>
  <si>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</si>
  <si>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</si>
  <si>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</si>
  <si>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</si>
  <si>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</si>
  <si>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</si>
  <si>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</si>
  <si>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</si>
  <si>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</si>
  <si>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</si>
  <si>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</si>
  <si>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</si>
  <si>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</si>
  <si>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</si>
  <si>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</si>
  <si>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</si>
  <si>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</si>
  <si>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</si>
  <si>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</si>
  <si>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</si>
  <si>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</si>
  <si>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</si>
  <si>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</si>
  <si>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</si>
  <si>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</si>
  <si>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</si>
  <si>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</si>
  <si>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</si>
  <si>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</si>
  <si>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</si>
  <si>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</si>
  <si>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</si>
  <si>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</si>
  <si>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</si>
  <si>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</si>
  <si>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</si>
  <si>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</si>
  <si>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</si>
  <si>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</si>
  <si>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</si>
  <si>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</si>
  <si>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</si>
  <si>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</si>
  <si>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</si>
  <si>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</si>
  <si>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</si>
  <si>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</si>
  <si>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</si>
  <si>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</si>
  <si>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</si>
  <si>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</si>
  <si>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</si>
  <si>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</si>
  <si>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</si>
  <si>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</si>
  <si>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</si>
  <si>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</si>
  <si>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</si>
  <si>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</si>
  <si>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</si>
  <si>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</si>
  <si>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</si>
  <si>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</si>
  <si>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</si>
  <si>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</si>
  <si>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</si>
  <si>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</si>
  <si>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</si>
  <si>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</si>
  <si>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</si>
  <si>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</si>
  <si>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</si>
  <si>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</si>
  <si>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</si>
  <si>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</si>
  <si>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</si>
  <si>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</si>
  <si>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</si>
  <si>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</si>
  <si>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</si>
  <si>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</si>
  <si>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</si>
  <si>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</si>
  <si>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</si>
  <si>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</si>
  <si>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</si>
  <si>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</si>
  <si>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</si>
  <si>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</si>
  <si>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</si>
  <si>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</si>
  <si>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</si>
  <si>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</si>
  <si>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</si>
  <si>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</si>
  <si>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</si>
  <si>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</si>
  <si>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</si>
  <si>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</si>
  <si>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</si>
  <si>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</si>
  <si>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</si>
  <si>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</si>
  <si>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</si>
  <si>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</si>
  <si>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</si>
  <si>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</si>
  <si>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</si>
  <si>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</si>
  <si>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</si>
  <si>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</si>
  <si>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</si>
  <si>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</si>
  <si>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</si>
  <si>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</si>
  <si>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</si>
  <si>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</si>
  <si>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</si>
  <si>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</si>
  <si>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</si>
  <si>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</si>
  <si>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</si>
  <si>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</si>
  <si>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</si>
  <si>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</si>
  <si>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</si>
  <si>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</si>
  <si>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</si>
  <si>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</si>
  <si>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</si>
  <si>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</si>
  <si>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</si>
  <si>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</si>
  <si>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</si>
  <si>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</si>
  <si>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</si>
  <si>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</si>
  <si>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</si>
  <si>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</si>
  <si>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</si>
  <si>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</si>
  <si>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</si>
  <si>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</si>
  <si>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</si>
  <si>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</si>
  <si>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</si>
  <si>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</si>
  <si>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</si>
  <si>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</si>
  <si>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</si>
  <si>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</si>
  <si>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</si>
  <si>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</si>
  <si>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</si>
  <si>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</si>
  <si>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</si>
  <si>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</si>
  <si>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</si>
  <si>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</si>
  <si>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</si>
  <si>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</si>
  <si>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</si>
  <si>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</si>
  <si>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</si>
  <si>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</si>
  <si>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</si>
  <si>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</si>
  <si>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</si>
  <si>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</si>
  <si>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</si>
  <si>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</si>
  <si>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</si>
  <si>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</si>
  <si>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</si>
  <si>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</si>
  <si>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</si>
  <si>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</si>
  <si>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</si>
  <si>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</si>
  <si>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</si>
  <si>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</si>
  <si>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</si>
  <si>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</si>
  <si>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</si>
  <si>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</si>
  <si>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</si>
  <si>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</si>
  <si>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</si>
  <si>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</si>
  <si>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</si>
  <si>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</si>
  <si>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</si>
  <si>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</si>
  <si>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</si>
  <si>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</si>
  <si>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</si>
  <si>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</si>
  <si>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</si>
  <si>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</si>
  <si>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</si>
  <si>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</si>
  <si>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</si>
  <si>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</si>
  <si>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</si>
  <si>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</si>
  <si>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</si>
  <si>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</si>
  <si>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</si>
  <si>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</si>
  <si>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</si>
  <si>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</si>
  <si>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</si>
  <si>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</si>
  <si>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</si>
  <si>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</si>
  <si>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</si>
  <si>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</si>
  <si>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</si>
  <si>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</si>
  <si>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</si>
  <si>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</si>
  <si>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</si>
  <si>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</si>
  <si>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</si>
  <si>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</si>
  <si>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</si>
  <si>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</si>
  <si>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</si>
  <si>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</si>
  <si>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</si>
  <si>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</si>
  <si>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</si>
  <si>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</si>
  <si>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</si>
  <si>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</si>
  <si>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</si>
  <si>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</si>
  <si>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</si>
  <si>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</si>
  <si>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</si>
  <si>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</si>
  <si>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</si>
  <si>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</si>
  <si>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</si>
  <si>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</si>
  <si>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</si>
  <si>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</si>
  <si>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</si>
  <si>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</si>
  <si>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</si>
  <si>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</si>
  <si>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</si>
  <si>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</si>
  <si>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</si>
  <si>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</si>
  <si>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</si>
  <si>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</si>
  <si>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</si>
  <si>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</si>
  <si>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</si>
  <si>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</si>
  <si>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</si>
  <si>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</si>
  <si>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</si>
  <si>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</si>
  <si>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</si>
  <si>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</si>
  <si>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</si>
  <si>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</si>
  <si>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</si>
  <si>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</si>
  <si>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</si>
  <si>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</si>
  <si>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</si>
  <si>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</si>
  <si>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</si>
  <si>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</si>
  <si>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</si>
  <si>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</si>
  <si>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</si>
  <si>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</si>
  <si>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</si>
  <si>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</si>
  <si>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</si>
  <si>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</si>
  <si>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</si>
  <si>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</si>
  <si>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</si>
  <si>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</si>
  <si>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</si>
  <si>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</si>
  <si>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</si>
  <si>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</si>
  <si>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</si>
  <si>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</si>
  <si>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</si>
  <si>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</si>
  <si>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</si>
  <si>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</si>
  <si>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</si>
  <si>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</si>
  <si>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</si>
  <si>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</si>
  <si>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</si>
  <si>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</si>
  <si>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</si>
  <si>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</si>
  <si>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</si>
  <si>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</si>
  <si>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</si>
  <si>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</si>
  <si>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</si>
  <si>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</si>
  <si>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</si>
  <si>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</si>
  <si>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</si>
  <si>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</si>
  <si>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</si>
  <si>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</si>
  <si>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</si>
  <si>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</si>
  <si>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</si>
  <si>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</si>
  <si>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</si>
  <si>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</si>
  <si>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</si>
  <si>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</si>
  <si>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</si>
  <si>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</si>
  <si>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</si>
  <si>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</si>
  <si>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</si>
  <si>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</si>
  <si>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</si>
  <si>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</si>
  <si>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</si>
  <si>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</si>
  <si>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</si>
  <si>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</si>
  <si>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</si>
  <si>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</si>
  <si>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</si>
  <si>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</si>
  <si>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</si>
  <si>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</si>
  <si>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</si>
  <si>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</si>
  <si>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</si>
  <si>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</si>
  <si>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</si>
  <si>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</si>
  <si>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</si>
  <si>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</si>
  <si>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</si>
  <si>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</si>
  <si>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</si>
  <si>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</si>
  <si>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</si>
  <si>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</si>
  <si>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</si>
  <si>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</si>
  <si>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</si>
  <si>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</si>
  <si>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</si>
  <si>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</si>
  <si>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</si>
  <si>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</si>
  <si>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</si>
  <si>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</si>
  <si>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</si>
  <si>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</si>
  <si>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</si>
  <si>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</si>
  <si>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</si>
  <si>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</si>
  <si>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</si>
  <si>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</si>
  <si>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</si>
  <si>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</si>
  <si>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</si>
  <si>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</si>
  <si>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</si>
  <si>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</si>
  <si>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</si>
  <si>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</si>
  <si>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</si>
  <si>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</si>
  <si>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</si>
  <si>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</si>
  <si>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</si>
  <si>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</si>
  <si>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</si>
  <si>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</si>
  <si>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</si>
  <si>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</si>
  <si>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</si>
  <si>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</si>
  <si>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</si>
  <si>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</si>
  <si>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</si>
  <si>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</si>
  <si>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</si>
  <si>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</si>
  <si>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</si>
  <si>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</si>
  <si>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</si>
  <si>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</si>
  <si>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</si>
  <si>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</si>
  <si>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</si>
  <si>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</si>
  <si>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</si>
  <si>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</si>
  <si>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</si>
  <si>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</si>
  <si>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</si>
  <si>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</si>
  <si>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</si>
  <si>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</si>
  <si>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</si>
  <si>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</si>
  <si>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</si>
  <si>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</si>
  <si>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</si>
  <si>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</si>
  <si>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</si>
  <si>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</si>
  <si>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</si>
  <si>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</si>
  <si>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</si>
  <si>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</si>
  <si>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</si>
  <si>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</si>
  <si>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</si>
  <si>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</si>
  <si>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</si>
  <si>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</si>
  <si>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</si>
  <si>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</si>
  <si>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</si>
  <si>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</si>
  <si>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</si>
  <si>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</si>
  <si>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</si>
  <si>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</si>
  <si>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</si>
  <si>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</si>
  <si>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</si>
  <si>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</si>
  <si>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</si>
  <si>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</si>
  <si>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</si>
  <si>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</si>
  <si>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</si>
  <si>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</si>
  <si>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</si>
  <si>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</si>
  <si>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</si>
  <si>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</si>
  <si>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</si>
  <si>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</si>
  <si>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</si>
  <si>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</si>
  <si>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</si>
  <si>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</si>
  <si>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</si>
  <si>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</si>
  <si>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</si>
  <si>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</si>
  <si>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</si>
  <si>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</si>
  <si>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</si>
  <si>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</si>
  <si>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</si>
  <si>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</si>
  <si>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</si>
  <si>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</si>
  <si>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</si>
  <si>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</si>
  <si>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</si>
  <si>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</si>
  <si>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</si>
  <si>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</si>
  <si>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</si>
  <si>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</si>
  <si>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</si>
  <si>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</si>
  <si>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</si>
  <si>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</si>
  <si>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</si>
  <si>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</si>
  <si>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</si>
  <si>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</si>
  <si>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</si>
  <si>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</si>
  <si>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</si>
  <si>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</si>
  <si>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</si>
  <si>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</si>
  <si>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</si>
  <si>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</si>
  <si>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</si>
  <si>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</si>
  <si>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</si>
  <si>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</si>
  <si>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</si>
  <si>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</si>
  <si>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</si>
  <si>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</si>
  <si>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</si>
  <si>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</si>
  <si>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</si>
  <si>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</si>
  <si>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</si>
  <si>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</si>
  <si>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</si>
  <si>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</si>
  <si>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</si>
  <si>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</si>
  <si>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</si>
  <si>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</si>
  <si>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</si>
  <si>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</si>
  <si>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</si>
  <si>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</si>
  <si>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</si>
  <si>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</si>
  <si>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</si>
  <si>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</si>
  <si>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</si>
  <si>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</si>
  <si>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</si>
  <si>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</si>
  <si>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</si>
  <si>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</si>
  <si>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</si>
  <si>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</si>
  <si>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</si>
  <si>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</si>
  <si>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</si>
  <si>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</si>
  <si>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</si>
  <si>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</si>
  <si>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</si>
  <si>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</si>
  <si>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</si>
  <si>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</si>
  <si>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</si>
  <si>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</si>
  <si>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</si>
  <si>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</si>
  <si>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</si>
  <si>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</si>
  <si>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</si>
  <si>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</si>
  <si>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</si>
  <si>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</si>
  <si>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</si>
  <si>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</si>
  <si>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</si>
  <si>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</si>
  <si>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</si>
  <si>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</si>
  <si>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</si>
  <si>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</si>
  <si>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</si>
  <si>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</si>
  <si>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</si>
  <si>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</si>
  <si>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</si>
  <si>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</si>
  <si>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</si>
  <si>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</si>
  <si>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</si>
  <si>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</si>
  <si>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</si>
  <si>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</si>
  <si>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</si>
  <si>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</si>
  <si>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</si>
  <si>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</si>
  <si>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</si>
  <si>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</si>
  <si>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</si>
  <si>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</si>
  <si>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</si>
  <si>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</si>
  <si>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</si>
  <si>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</si>
  <si>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</si>
  <si>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</si>
  <si>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</si>
  <si>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</si>
  <si>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</si>
  <si>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</si>
  <si>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</si>
  <si>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</si>
  <si>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</si>
  <si>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</si>
  <si>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</si>
  <si>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</si>
  <si>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</si>
  <si>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</si>
  <si>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</si>
  <si>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</si>
  <si>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</si>
  <si>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</si>
  <si>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</si>
  <si>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</si>
  <si>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</si>
  <si>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</si>
  <si>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</si>
  <si>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</si>
  <si>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</si>
  <si>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</si>
  <si>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</si>
  <si>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</si>
  <si>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</si>
  <si>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</si>
  <si>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</si>
  <si>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</si>
  <si>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</si>
  <si>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</si>
  <si>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</si>
  <si>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</si>
  <si>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</si>
  <si>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</si>
  <si>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</si>
  <si>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</si>
  <si>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</si>
  <si>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</si>
  <si>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</si>
  <si>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</si>
  <si>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</si>
  <si>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</si>
  <si>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</si>
  <si>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</si>
  <si>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</si>
  <si>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</si>
  <si>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</si>
  <si>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</si>
  <si>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</si>
  <si>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</si>
  <si>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</si>
  <si>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</si>
  <si>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</si>
  <si>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</si>
  <si>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</si>
  <si>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</si>
  <si>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</si>
  <si>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</si>
  <si>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</si>
  <si>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</si>
  <si>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</si>
  <si>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</si>
  <si>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</si>
  <si>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</si>
  <si>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</si>
  <si>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</si>
  <si>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</si>
  <si>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</si>
  <si>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</si>
  <si>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</si>
  <si>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</si>
  <si>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</si>
  <si>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</si>
  <si>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</si>
  <si>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</si>
  <si>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</si>
  <si>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</si>
  <si>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</si>
  <si>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</si>
  <si>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</si>
  <si>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</si>
  <si>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</si>
  <si>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</si>
  <si>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</si>
  <si>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</si>
  <si>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</si>
  <si>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</si>
  <si>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</si>
  <si>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</si>
  <si>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</si>
  <si>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</si>
  <si>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</si>
  <si>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</si>
  <si>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</si>
  <si>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</si>
  <si>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</si>
  <si>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</si>
  <si>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</si>
  <si>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</si>
  <si>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</si>
  <si>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</si>
  <si>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</si>
  <si>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</si>
  <si>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</si>
  <si>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</si>
  <si>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</si>
  <si>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</si>
  <si>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</si>
  <si>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</si>
  <si>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</si>
  <si>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</si>
  <si>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</si>
  <si>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</si>
  <si>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</si>
  <si>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</si>
  <si>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</si>
  <si>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</si>
  <si>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</si>
  <si>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</si>
  <si>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</si>
  <si>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</si>
  <si>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</si>
  <si>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</si>
  <si>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</si>
  <si>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</si>
  <si>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</si>
  <si>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</si>
  <si>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</si>
  <si>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</si>
  <si>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</si>
  <si>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</si>
  <si>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</si>
  <si>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</si>
  <si>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</si>
  <si>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</si>
  <si>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</si>
  <si>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</si>
  <si>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</si>
  <si>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</si>
  <si>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</si>
  <si>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</si>
  <si>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</si>
  <si>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</si>
  <si>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</si>
  <si>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</si>
  <si>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</si>
  <si>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</si>
  <si>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</si>
  <si>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</si>
  <si>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</si>
  <si>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</si>
  <si>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</si>
  <si>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</si>
  <si>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</si>
  <si>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</si>
  <si>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</si>
  <si>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</si>
  <si>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</si>
  <si>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</si>
  <si>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</si>
  <si>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</si>
  <si>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</si>
  <si>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</si>
  <si>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</si>
  <si>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</si>
  <si>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</si>
  <si>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</si>
  <si>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</si>
  <si>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</si>
  <si>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</si>
  <si>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</si>
  <si>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</si>
  <si>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</si>
  <si>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</si>
  <si>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</si>
  <si>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</si>
  <si>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</si>
  <si>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</si>
  <si>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</si>
  <si>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</si>
  <si>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</si>
  <si>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</si>
  <si>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</si>
  <si>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</si>
  <si>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</si>
  <si>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</si>
  <si>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</si>
  <si>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</si>
  <si>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</si>
  <si>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</si>
  <si>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</si>
  <si>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</si>
  <si>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</si>
  <si>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</si>
  <si>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</si>
  <si>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</si>
  <si>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</si>
  <si>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</si>
  <si>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</si>
  <si>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</si>
  <si>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</si>
  <si>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</si>
  <si>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</si>
  <si>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</si>
  <si>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</si>
  <si>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</si>
  <si>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</si>
  <si>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</si>
  <si>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</si>
  <si>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</si>
  <si>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</si>
  <si>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</si>
  <si>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</si>
  <si>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</si>
  <si>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</si>
  <si>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</si>
  <si>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</si>
  <si>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</si>
  <si>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</si>
  <si>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</si>
  <si>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</si>
  <si>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</si>
  <si>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</si>
  <si>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</si>
  <si>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</si>
  <si>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</si>
  <si>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</si>
  <si>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</si>
  <si>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</si>
  <si>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</si>
  <si>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</si>
  <si>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</si>
  <si>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</si>
  <si>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</si>
  <si>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</si>
  <si>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</si>
  <si>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</si>
  <si>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</si>
  <si>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</si>
  <si>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</si>
  <si>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</si>
  <si>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</si>
  <si>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</si>
  <si>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</si>
  <si>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</si>
  <si>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</si>
  <si>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</si>
  <si>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</si>
  <si>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</si>
  <si>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</si>
  <si>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</si>
  <si>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</si>
  <si>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</si>
  <si>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</si>
  <si>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</si>
  <si>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</si>
  <si>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</si>
  <si>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</si>
  <si>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</si>
  <si>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</si>
  <si>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</si>
  <si>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</si>
  <si>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</si>
  <si>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</si>
  <si>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</si>
  <si>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</si>
  <si>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</si>
  <si>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</si>
  <si>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</si>
  <si>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</si>
  <si>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</si>
  <si>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</si>
  <si>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</si>
  <si>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</si>
  <si>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</si>
  <si>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</si>
  <si>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</si>
  <si>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</si>
  <si>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</si>
  <si>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</si>
  <si>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</si>
  <si>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</si>
  <si>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</si>
  <si>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</si>
  <si>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</si>
  <si>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</si>
  <si>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</si>
  <si>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</si>
  <si>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</si>
  <si>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</si>
  <si>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</si>
  <si>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</si>
  <si>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</si>
  <si>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</si>
  <si>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</si>
  <si>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</si>
  <si>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</si>
  <si>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</si>
  <si>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</si>
  <si>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</si>
  <si>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</si>
  <si>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</si>
  <si>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</si>
  <si>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</si>
  <si>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</si>
  <si>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</si>
  <si>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</si>
  <si>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</si>
  <si>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</si>
  <si>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</si>
  <si>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</si>
  <si>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</si>
  <si>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</si>
  <si>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</si>
  <si>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</si>
  <si>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</si>
  <si>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</si>
  <si>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</si>
  <si>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</si>
  <si>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</si>
  <si>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</si>
  <si>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</si>
  <si>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</si>
  <si>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</si>
  <si>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</si>
  <si>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</si>
  <si>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</si>
  <si>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</si>
  <si>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</si>
  <si>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</si>
  <si>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</si>
  <si>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</si>
  <si>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</si>
  <si>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</si>
  <si>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</si>
  <si>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</si>
  <si>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</si>
  <si>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</si>
  <si>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</si>
  <si>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</si>
  <si>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</si>
  <si>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</si>
  <si>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</si>
  <si>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</si>
  <si>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</si>
  <si>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</si>
  <si>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</si>
  <si>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</si>
  <si>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</si>
  <si>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</si>
  <si>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</si>
  <si>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</si>
  <si>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</si>
  <si>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</si>
  <si>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</si>
  <si>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</si>
  <si>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</si>
  <si>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</si>
  <si>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</si>
  <si>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</si>
  <si>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</si>
  <si>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</si>
  <si>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</si>
  <si>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</si>
  <si>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</si>
  <si>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</si>
  <si>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</si>
  <si>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</si>
  <si>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</si>
  <si>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</si>
  <si>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</si>
  <si>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</si>
  <si>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</si>
  <si>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</si>
  <si>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</si>
  <si>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</si>
  <si>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</si>
  <si>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</si>
  <si>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</si>
  <si>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</si>
  <si>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</si>
  <si>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</si>
  <si>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</si>
  <si>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</si>
  <si>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</si>
  <si>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</si>
  <si>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</si>
  <si>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</si>
  <si>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</si>
  <si>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</si>
  <si>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</si>
  <si>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</si>
  <si>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</si>
  <si>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</si>
  <si>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</si>
  <si>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</si>
  <si>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</si>
  <si>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</si>
  <si>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</si>
  <si>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</si>
  <si>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</si>
  <si>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</si>
  <si>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</si>
  <si>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</si>
  <si>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</si>
  <si>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</si>
  <si>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</si>
  <si>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</si>
  <si>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</si>
  <si>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</si>
  <si>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</si>
  <si>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</si>
  <si>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</si>
  <si>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</si>
  <si>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</si>
  <si>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</si>
  <si>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</si>
  <si>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</si>
  <si>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</si>
  <si>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</si>
  <si>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</si>
  <si>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</si>
  <si>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</si>
  <si>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</si>
  <si>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</si>
  <si>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</si>
  <si>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</si>
  <si>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</si>
  <si>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</si>
  <si>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</si>
  <si>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</si>
  <si>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</si>
  <si>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</si>
  <si>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</si>
  <si>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</si>
  <si>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</si>
  <si>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</si>
  <si>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</si>
  <si>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</si>
  <si>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</si>
  <si>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</si>
  <si>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</si>
  <si>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</si>
  <si>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</si>
  <si>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</si>
  <si>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</si>
  <si>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</si>
  <si>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</si>
  <si>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</si>
  <si>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</si>
  <si>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</si>
  <si>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</si>
  <si>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</si>
  <si>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</si>
  <si>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</si>
  <si>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</si>
  <si>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</si>
  <si>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</si>
  <si>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</si>
  <si>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</si>
  <si>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</si>
  <si>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</si>
  <si>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</si>
  <si>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</si>
  <si>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</si>
  <si>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</si>
  <si>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</si>
  <si>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</si>
  <si>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</si>
  <si>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</si>
  <si>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</si>
  <si>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</si>
  <si>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</si>
  <si>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</si>
  <si>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</si>
  <si>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</si>
  <si>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</si>
  <si>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</si>
  <si>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</si>
  <si>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</si>
  <si>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</si>
  <si>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</si>
  <si>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</si>
  <si>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</si>
  <si>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</si>
  <si>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</si>
  <si>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</si>
  <si>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</si>
  <si>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</si>
  <si>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</si>
  <si>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</si>
  <si>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</si>
  <si>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</si>
  <si>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</si>
  <si>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</si>
  <si>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</si>
  <si>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</si>
  <si>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</si>
  <si>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</si>
  <si>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</si>
  <si>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</si>
  <si>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</si>
  <si>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</si>
  <si>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</si>
  <si>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</si>
  <si>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</si>
  <si>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</si>
  <si>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</si>
  <si>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</si>
  <si>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</si>
  <si>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</si>
  <si>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</si>
  <si>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</si>
  <si>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</si>
  <si>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</si>
  <si>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</si>
  <si>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</si>
  <si>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</si>
  <si>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</si>
  <si>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</si>
  <si>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</si>
  <si>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</si>
  <si>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</si>
  <si>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</si>
  <si>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</si>
  <si>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</si>
  <si>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</si>
  <si>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</si>
  <si>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</si>
  <si>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</si>
  <si>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</si>
  <si>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</si>
  <si>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</si>
  <si>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</si>
  <si>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</si>
  <si>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</si>
  <si>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</si>
  <si>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</si>
  <si>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</si>
  <si>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</si>
  <si>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</si>
  <si>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</si>
  <si>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</si>
  <si>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</si>
  <si>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</si>
  <si>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</si>
  <si>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</si>
  <si>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</si>
  <si>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</si>
  <si>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</si>
  <si>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</si>
  <si>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</si>
  <si>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</si>
  <si>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</si>
  <si>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</si>
  <si>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</si>
  <si>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</si>
  <si>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</si>
  <si>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</si>
  <si>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</si>
  <si>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</si>
  <si>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</si>
  <si>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</si>
  <si>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</si>
  <si>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</si>
  <si>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</si>
  <si>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</si>
  <si>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</si>
  <si>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</si>
  <si>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</si>
  <si>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</si>
  <si>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</si>
  <si>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</si>
  <si>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</si>
  <si>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</si>
  <si>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</si>
  <si>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</si>
  <si>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</si>
  <si>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</si>
  <si>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</si>
  <si>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</si>
  <si>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</si>
  <si>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</si>
  <si>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</si>
  <si>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</si>
  <si>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</si>
  <si>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</si>
  <si>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</si>
  <si>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</si>
  <si>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</si>
  <si>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</si>
  <si>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</si>
  <si>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</si>
  <si>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</si>
  <si>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</si>
  <si>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</si>
  <si>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</si>
  <si>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</si>
  <si>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</si>
  <si>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</si>
  <si>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</si>
  <si>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</si>
  <si>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</si>
  <si>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</si>
  <si>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</si>
  <si>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</si>
  <si>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</si>
  <si>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</si>
  <si>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</si>
  <si>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</si>
  <si>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</si>
  <si>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</si>
  <si>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</si>
  <si>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</si>
  <si>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</si>
  <si>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</si>
  <si>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</si>
  <si>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</si>
  <si>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</si>
  <si>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</si>
  <si>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</si>
  <si>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</si>
  <si>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</si>
  <si>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</si>
  <si>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</si>
  <si>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</si>
  <si>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</si>
  <si>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</si>
  <si>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</si>
  <si>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</si>
  <si>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</si>
  <si>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</si>
  <si>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</si>
  <si>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</si>
  <si>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</si>
  <si>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</si>
  <si>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</si>
  <si>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</si>
  <si>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</si>
  <si>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</si>
  <si>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</si>
  <si>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</si>
  <si>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</si>
  <si>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</si>
  <si>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</si>
  <si>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</si>
  <si>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</si>
  <si>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</si>
  <si>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</si>
  <si>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</si>
  <si>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</si>
  <si>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</si>
  <si>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</si>
  <si>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</si>
  <si>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</si>
  <si>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</si>
  <si>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</si>
  <si>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</si>
  <si>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</si>
  <si>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</si>
  <si>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</si>
  <si>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</si>
  <si>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</si>
  <si>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</si>
  <si>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</si>
  <si>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</si>
  <si>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</si>
  <si>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</si>
  <si>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</si>
  <si>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</si>
  <si>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</si>
  <si>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</si>
  <si>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</si>
  <si>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</si>
  <si>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</si>
  <si>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</si>
  <si>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</si>
  <si>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</si>
  <si>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</si>
  <si>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</si>
  <si>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</si>
  <si>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</si>
  <si>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</si>
  <si>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</si>
  <si>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</si>
  <si>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</si>
  <si>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</si>
  <si>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</si>
  <si>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</si>
  <si>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</si>
  <si>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</si>
  <si>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</si>
  <si>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</si>
  <si>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</si>
  <si>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</si>
  <si>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</si>
  <si>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</si>
  <si>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</si>
  <si>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</si>
  <si>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</si>
  <si>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</si>
  <si>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</si>
  <si>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</si>
  <si>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</si>
  <si>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</si>
  <si>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</si>
  <si>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</si>
  <si>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</si>
  <si>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</si>
  <si>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</si>
  <si>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</si>
  <si>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</si>
  <si>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</si>
  <si>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</si>
  <si>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</si>
  <si>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</si>
  <si>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</si>
  <si>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</si>
  <si>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</si>
  <si>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</si>
  <si>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</si>
  <si>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</si>
  <si>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</si>
  <si>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</si>
  <si>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</si>
  <si>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</si>
  <si>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</si>
  <si>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</si>
  <si>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</si>
  <si>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</si>
  <si>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</si>
  <si>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</si>
  <si>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</si>
  <si>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</si>
  <si>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</si>
  <si>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</si>
  <si>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</si>
  <si>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</si>
  <si>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</si>
  <si>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</si>
  <si>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</si>
  <si>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</si>
  <si>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</si>
  <si>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</si>
  <si>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</si>
  <si>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</si>
  <si>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</si>
  <si>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</si>
  <si>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</si>
  <si>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</si>
  <si>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</si>
  <si>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</si>
  <si>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</si>
  <si>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</si>
  <si>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</si>
  <si>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</si>
  <si>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</si>
  <si>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</si>
  <si>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</si>
  <si>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</si>
  <si>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</si>
  <si>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</si>
  <si>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</si>
  <si>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</si>
  <si>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</si>
  <si>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</si>
  <si>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</si>
  <si>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</si>
  <si>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</si>
  <si>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</si>
  <si>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</si>
  <si>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</si>
  <si>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</si>
  <si>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</si>
  <si>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</si>
  <si>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</si>
  <si>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</si>
  <si>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</si>
  <si>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</si>
  <si>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</si>
  <si>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</si>
  <si>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</si>
  <si>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</si>
  <si>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</si>
  <si>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</si>
  <si>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</si>
  <si>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</si>
  <si>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</si>
  <si>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</si>
  <si>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</si>
  <si>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</si>
  <si>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</si>
  <si>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</si>
  <si>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</si>
  <si>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</si>
  <si>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</si>
  <si>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</si>
  <si>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</si>
  <si>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</si>
  <si>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</si>
  <si>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</si>
  <si>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</si>
  <si>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</si>
  <si>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</si>
  <si>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</si>
  <si>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</si>
  <si>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</si>
  <si>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</si>
  <si>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</si>
  <si>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</si>
  <si>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</si>
  <si>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</si>
  <si>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</si>
  <si>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</si>
  <si>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</si>
  <si>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</si>
  <si>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</si>
  <si>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</si>
  <si>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</si>
  <si>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</si>
  <si>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</si>
  <si>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</si>
  <si>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</si>
  <si>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</si>
  <si>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</si>
  <si>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</si>
  <si>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</si>
  <si>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</si>
  <si>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</si>
  <si>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</si>
  <si>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</si>
  <si>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</si>
  <si>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</si>
  <si>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</si>
  <si>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</si>
  <si>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</si>
  <si>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</si>
  <si>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</si>
  <si>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</si>
  <si>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</si>
  <si>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</si>
  <si>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</si>
  <si>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</si>
  <si>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</si>
  <si>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</si>
  <si>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</si>
  <si>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</si>
  <si>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</si>
  <si>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</si>
  <si>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</si>
  <si>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</si>
  <si>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</si>
  <si>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</si>
  <si>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</si>
  <si>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</si>
  <si>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</si>
  <si>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</si>
  <si>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</si>
  <si>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</si>
  <si>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</si>
  <si>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</si>
  <si>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</si>
  <si>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</si>
  <si>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</si>
  <si>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</si>
  <si>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</si>
  <si>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</si>
  <si>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</si>
  <si>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</si>
  <si>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</si>
  <si>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</si>
  <si>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</si>
  <si>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</si>
  <si>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</si>
  <si>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</si>
  <si>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</si>
  <si>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</si>
  <si>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</si>
  <si>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</si>
  <si>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</si>
  <si>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</si>
  <si>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</si>
  <si>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</si>
  <si>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</si>
  <si>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</si>
  <si>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</si>
  <si>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</si>
  <si>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</si>
  <si>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</si>
  <si>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</si>
  <si>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</si>
  <si>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</si>
  <si>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</si>
  <si>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</si>
  <si>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</si>
  <si>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</si>
  <si>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</si>
  <si>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</si>
  <si>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</si>
  <si>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</si>
  <si>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</si>
  <si>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</si>
  <si>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</si>
  <si>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</si>
  <si>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</si>
  <si>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</si>
  <si>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</si>
  <si>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</si>
  <si>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</si>
  <si>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</si>
  <si>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</si>
  <si>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</si>
  <si>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</si>
  <si>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</si>
  <si>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</si>
  <si>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</si>
  <si>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</si>
  <si>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</si>
  <si>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</si>
  <si>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</si>
  <si>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</si>
  <si>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</si>
  <si>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</si>
  <si>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</si>
  <si>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</si>
  <si>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</si>
  <si>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</si>
  <si>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</si>
  <si>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</si>
  <si>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</si>
  <si>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</si>
  <si>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</si>
  <si>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</si>
  <si>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</si>
  <si>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</si>
  <si>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</si>
  <si>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</si>
  <si>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</si>
  <si>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</si>
  <si>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</si>
  <si>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</si>
  <si>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</si>
  <si>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</si>
  <si>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</si>
  <si>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</si>
  <si>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</si>
  <si>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</si>
  <si>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</si>
  <si>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</si>
  <si>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</si>
  <si>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</si>
  <si>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</si>
  <si>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</si>
  <si>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</si>
  <si>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</si>
  <si>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</si>
  <si>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</si>
  <si>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</si>
  <si>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</si>
  <si>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</si>
  <si>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</si>
  <si>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</si>
  <si>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</si>
  <si>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</si>
  <si>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</si>
  <si>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</si>
  <si>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</si>
  <si>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</si>
  <si>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</si>
  <si>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</si>
  <si>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</si>
  <si>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</si>
  <si>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</si>
  <si>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</si>
  <si>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</si>
  <si>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</si>
  <si>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</si>
  <si>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</si>
  <si>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</si>
  <si>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</si>
  <si>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</si>
  <si>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</si>
  <si>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</si>
  <si>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</si>
  <si>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</si>
  <si>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</si>
  <si>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</si>
  <si>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</si>
  <si>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</si>
  <si>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</si>
  <si>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</si>
  <si>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</si>
  <si>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</si>
  <si>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</si>
  <si>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</si>
  <si>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</si>
  <si>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</si>
  <si>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</si>
  <si>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</si>
  <si>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</si>
  <si>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</si>
  <si>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</si>
  <si>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</si>
  <si>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</si>
  <si>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</si>
  <si>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</si>
  <si>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</si>
  <si>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</si>
  <si>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</si>
  <si>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</si>
  <si>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</si>
  <si>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</si>
  <si>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</si>
  <si>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</si>
  <si>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</si>
  <si>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</si>
  <si>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</si>
  <si>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</si>
  <si>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</si>
  <si>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</si>
  <si>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</si>
  <si>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</si>
  <si>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</si>
  <si>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</si>
  <si>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</si>
  <si>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</si>
  <si>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</si>
  <si>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</si>
  <si>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</si>
  <si>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</si>
  <si>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</si>
  <si>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</si>
  <si>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</si>
  <si>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</si>
  <si>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</si>
  <si>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</si>
  <si>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</si>
  <si>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</si>
  <si>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</si>
  <si>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</si>
  <si>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</si>
  <si>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</si>
  <si>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</si>
  <si>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</si>
  <si>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</si>
  <si>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</si>
  <si>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</si>
  <si>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</si>
  <si>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</si>
  <si>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</si>
  <si>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</si>
  <si>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</si>
  <si>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</si>
  <si>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</si>
  <si>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</si>
  <si>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</si>
  <si>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</si>
  <si>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</si>
  <si>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</si>
  <si>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</si>
  <si>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</si>
  <si>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</si>
  <si>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</si>
  <si>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</si>
  <si>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</si>
  <si>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</si>
  <si>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</si>
  <si>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</si>
  <si>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</si>
  <si>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</si>
  <si>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</si>
  <si>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</si>
  <si>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</si>
  <si>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</si>
  <si>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</si>
  <si>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</si>
  <si>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</si>
  <si>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</si>
  <si>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</si>
  <si>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</si>
  <si>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</si>
  <si>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</si>
  <si>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</si>
  <si>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</si>
  <si>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</si>
  <si>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</si>
  <si>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</si>
  <si>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</si>
  <si>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</si>
  <si>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</si>
  <si>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</si>
  <si>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</si>
  <si>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</si>
  <si>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</si>
  <si>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</si>
  <si>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</si>
  <si>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</si>
  <si>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</si>
  <si>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</si>
  <si>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</si>
  <si>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</si>
  <si>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</si>
  <si>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</si>
  <si>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</si>
  <si>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</si>
  <si>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</si>
  <si>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</si>
  <si>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</si>
  <si>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</si>
  <si>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</si>
  <si>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</si>
  <si>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</si>
  <si>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</si>
  <si>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</si>
  <si>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</si>
  <si>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</si>
  <si>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</si>
  <si>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</si>
  <si>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</si>
  <si>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</si>
  <si>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</si>
  <si>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</si>
  <si>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</si>
  <si>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</si>
  <si>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</si>
  <si>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</si>
  <si>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</si>
  <si>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</si>
  <si>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</si>
  <si>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</si>
  <si>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</si>
  <si>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</si>
  <si>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</si>
  <si>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</si>
  <si>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</si>
  <si>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</si>
  <si>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</si>
  <si>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</si>
  <si>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</si>
  <si>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</si>
  <si>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</si>
  <si>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</si>
  <si>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</si>
  <si>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</si>
  <si>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</si>
  <si>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</si>
  <si>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</si>
  <si>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</si>
  <si>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</si>
  <si>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</si>
  <si>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</si>
  <si>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</si>
  <si>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</si>
  <si>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</si>
  <si>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</si>
  <si>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</si>
  <si>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</si>
  <si>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</si>
  <si>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</si>
  <si>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</si>
  <si>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</si>
  <si>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</si>
  <si>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</si>
  <si>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</si>
  <si>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</si>
  <si>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</si>
  <si>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</si>
  <si>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</si>
  <si>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</si>
  <si>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</si>
  <si>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</si>
  <si>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</si>
  <si>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</si>
  <si>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</si>
  <si>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</si>
  <si>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</si>
  <si>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</si>
  <si>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</si>
  <si>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</si>
  <si>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</si>
  <si>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</si>
  <si>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</si>
  <si>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</si>
  <si>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</si>
  <si>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</si>
  <si>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</si>
  <si>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</si>
  <si>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</si>
  <si>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</si>
  <si>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</si>
  <si>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</si>
  <si>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</si>
  <si>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</si>
  <si>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</si>
  <si>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</si>
  <si>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</si>
  <si>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</si>
  <si>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</si>
  <si>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</si>
  <si>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</si>
  <si>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</si>
  <si>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</si>
  <si>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</si>
  <si>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</si>
  <si>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</si>
  <si>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</si>
  <si>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</si>
  <si>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</si>
  <si>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</si>
  <si>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</si>
  <si>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</si>
  <si>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</si>
  <si>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</si>
  <si>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</si>
  <si>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</si>
  <si>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</si>
  <si>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</si>
  <si>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</si>
  <si>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</si>
  <si>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</si>
  <si>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</si>
  <si>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</si>
  <si>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</si>
  <si>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</si>
  <si>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</si>
  <si>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</si>
  <si>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</si>
  <si>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</si>
  <si>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</si>
  <si>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</si>
  <si>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</si>
  <si>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</si>
  <si>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</si>
  <si>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</si>
  <si>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</si>
  <si>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</si>
  <si>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</si>
  <si>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</si>
  <si>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</si>
  <si>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</si>
  <si>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</si>
  <si>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</si>
  <si>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</si>
  <si>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</si>
  <si>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</si>
  <si>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</si>
  <si>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</si>
  <si>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</si>
  <si>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</si>
  <si>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</si>
  <si>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</si>
  <si>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</si>
  <si>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</si>
  <si>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</si>
  <si>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</si>
  <si>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</si>
  <si>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</si>
  <si>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</si>
  <si>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</si>
  <si>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</si>
  <si>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</si>
  <si>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</si>
  <si>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</si>
  <si>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</si>
  <si>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</si>
  <si>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</si>
  <si>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</si>
  <si>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</si>
  <si>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</si>
  <si>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</si>
  <si>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</si>
  <si>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</si>
  <si>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</si>
  <si>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</si>
  <si>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</si>
  <si>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</si>
  <si>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</si>
  <si>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</si>
  <si>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</si>
  <si>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</si>
  <si>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</si>
  <si>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</si>
  <si>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</si>
  <si>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</si>
  <si>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</si>
  <si>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</si>
  <si>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</si>
  <si>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</si>
  <si>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</si>
  <si>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</si>
  <si>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</si>
  <si>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</si>
  <si>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</si>
  <si>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</si>
  <si>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</si>
  <si>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</si>
  <si>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</si>
  <si>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</si>
  <si>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</si>
  <si>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</si>
  <si>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</si>
  <si>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</si>
  <si>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</si>
  <si>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</si>
  <si>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</si>
  <si>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</si>
  <si>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</si>
  <si>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</si>
  <si>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</si>
  <si>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</si>
  <si>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</si>
  <si>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</si>
  <si>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</si>
  <si>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</si>
  <si>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</si>
  <si>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</si>
  <si>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</si>
  <si>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</si>
  <si>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</si>
  <si>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</si>
  <si>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</si>
  <si>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</si>
  <si>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</si>
  <si>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</si>
  <si>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</si>
  <si>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</si>
  <si>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</si>
  <si>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</si>
  <si>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</si>
  <si>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</si>
  <si>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</si>
  <si>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</si>
  <si>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</si>
  <si>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</si>
  <si>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</si>
  <si>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</si>
  <si>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</si>
  <si>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</si>
  <si>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</si>
  <si>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</si>
  <si>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</si>
  <si>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</si>
  <si>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</si>
  <si>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</si>
  <si>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</si>
  <si>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</si>
  <si>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</si>
  <si>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</si>
  <si>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</si>
  <si>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</si>
  <si>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</si>
  <si>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</si>
  <si>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</si>
  <si>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</si>
  <si>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</si>
  <si>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</si>
  <si>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</si>
  <si>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</si>
  <si>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</si>
  <si>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</si>
  <si>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</si>
  <si>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</si>
  <si>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</si>
  <si>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</si>
  <si>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</si>
  <si>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</si>
  <si>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</si>
  <si>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</si>
  <si>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</si>
  <si>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</si>
  <si>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</si>
  <si>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</si>
  <si>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</si>
  <si>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</si>
  <si>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</si>
  <si>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</si>
  <si>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</si>
  <si>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</si>
  <si>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</si>
  <si>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</si>
  <si>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</si>
  <si>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</si>
  <si>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</si>
  <si>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</si>
  <si>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</si>
  <si>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</si>
  <si>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</si>
  <si>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</si>
  <si>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</si>
  <si>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</si>
  <si>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</si>
  <si>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</si>
  <si>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</si>
  <si>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</si>
  <si>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</si>
  <si>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</si>
  <si>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</si>
  <si>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</si>
  <si>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</si>
  <si>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</si>
  <si>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</si>
  <si>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</si>
  <si>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</si>
  <si>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</si>
  <si>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</si>
  <si>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</si>
  <si>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</si>
  <si>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</si>
  <si>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</si>
  <si>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</si>
  <si>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</si>
  <si>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</si>
  <si>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</si>
  <si>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</si>
  <si>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</si>
  <si>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</si>
  <si>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</si>
  <si>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</si>
  <si>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</si>
  <si>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</si>
  <si>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</si>
  <si>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</si>
  <si>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</si>
  <si>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</si>
  <si>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</si>
  <si>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</si>
  <si>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</si>
  <si>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</si>
  <si>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</si>
  <si>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</si>
  <si>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</si>
  <si>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</si>
  <si>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</si>
  <si>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</si>
  <si>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</si>
  <si>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</si>
  <si>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</si>
  <si>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</si>
  <si>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</si>
  <si>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</si>
  <si>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</si>
  <si>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</si>
  <si>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</si>
  <si>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</si>
  <si>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</si>
  <si>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</si>
  <si>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</si>
  <si>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</si>
  <si>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</si>
  <si>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</si>
  <si>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</si>
  <si>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</si>
  <si>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</si>
  <si>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</si>
  <si>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</si>
  <si>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</si>
  <si>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</si>
  <si>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</si>
  <si>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</si>
  <si>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</si>
  <si>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</si>
  <si>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</si>
  <si>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</si>
  <si>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</si>
  <si>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</si>
  <si>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</si>
  <si>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</si>
  <si>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</si>
  <si>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</si>
  <si>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</si>
  <si>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</si>
  <si>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</si>
  <si>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</si>
  <si>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</si>
  <si>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</si>
  <si>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</si>
  <si>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</si>
  <si>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</si>
  <si>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</si>
  <si>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</si>
  <si>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</si>
  <si>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</si>
  <si>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</si>
  <si>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</si>
  <si>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</si>
  <si>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</si>
  <si>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</si>
  <si>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</si>
  <si>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</si>
  <si>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</si>
  <si>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</si>
  <si>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</si>
  <si>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</si>
  <si>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</si>
  <si>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</si>
  <si>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</si>
  <si>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</si>
  <si>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</si>
  <si>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</si>
  <si>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</si>
  <si>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</si>
  <si>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</si>
  <si>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</si>
  <si>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</si>
  <si>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</si>
  <si>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</si>
  <si>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</si>
  <si>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</si>
  <si>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</si>
  <si>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</si>
  <si>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</si>
  <si>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</si>
  <si>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</si>
  <si>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</si>
  <si>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</si>
  <si>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</si>
  <si>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</si>
  <si>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</si>
  <si>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</si>
  <si>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</si>
  <si>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</si>
  <si>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</si>
  <si>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</si>
  <si>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</si>
  <si>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</si>
  <si>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</si>
  <si>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</si>
  <si>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</si>
  <si>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</si>
  <si>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</si>
  <si>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</si>
  <si>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</si>
  <si>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</si>
  <si>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</si>
  <si>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</si>
  <si>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</si>
  <si>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</si>
  <si>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</si>
  <si>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</si>
  <si>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</si>
  <si>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</si>
  <si>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</si>
  <si>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</si>
  <si>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</si>
  <si>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</si>
  <si>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</si>
  <si>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</si>
  <si>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</si>
  <si>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</si>
  <si>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</si>
  <si>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</si>
  <si>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</si>
  <si>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</si>
  <si>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</si>
  <si>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</si>
  <si>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</si>
  <si>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</si>
  <si>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</si>
  <si>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</si>
  <si>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</si>
  <si>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</si>
  <si>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</si>
  <si>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</si>
  <si>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</si>
  <si>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</si>
  <si>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</si>
  <si>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</si>
  <si>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</si>
  <si>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</si>
  <si>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</si>
  <si>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</si>
  <si>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</si>
  <si>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</si>
  <si>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</si>
  <si>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</si>
  <si>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</si>
  <si>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</si>
  <si>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</si>
  <si>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</si>
  <si>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</si>
  <si>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</si>
  <si>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</si>
  <si>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</si>
  <si>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</si>
  <si>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</si>
  <si>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</si>
  <si>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</si>
  <si>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</si>
  <si>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</si>
  <si>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</si>
  <si>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</si>
  <si>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</si>
  <si>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</si>
  <si>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</si>
  <si>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</si>
  <si>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</si>
  <si>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</si>
  <si>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</si>
  <si>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</si>
  <si>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</si>
  <si>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</si>
  <si>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</si>
  <si>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</si>
  <si>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</si>
  <si>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</si>
  <si>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</si>
  <si>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</si>
  <si>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</si>
  <si>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</si>
  <si>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</si>
  <si>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</si>
  <si>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</si>
  <si>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</si>
  <si>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</si>
  <si>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</si>
  <si>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</si>
  <si>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</si>
  <si>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</si>
  <si>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</si>
  <si>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</si>
  <si>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</si>
  <si>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</si>
  <si>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</si>
  <si>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</si>
  <si>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</si>
  <si>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</si>
  <si>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</si>
  <si>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</si>
  <si>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</si>
  <si>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</si>
  <si>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</si>
  <si>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</si>
  <si>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</si>
  <si>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</si>
  <si>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</si>
  <si>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</si>
  <si>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</si>
  <si>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</si>
  <si>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</si>
  <si>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</si>
  <si>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</si>
  <si>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</si>
  <si>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</si>
  <si>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</si>
  <si>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</si>
  <si>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</si>
  <si>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</si>
  <si>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</si>
  <si>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</si>
  <si>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</si>
  <si>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</si>
  <si>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</si>
  <si>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</si>
  <si>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</si>
  <si>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</si>
  <si>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</si>
  <si>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</si>
  <si>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</si>
  <si>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</si>
  <si>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</si>
  <si>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</si>
  <si>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</si>
  <si>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</si>
  <si>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</si>
  <si>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</si>
  <si>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</si>
  <si>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</si>
  <si>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</si>
  <si>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</si>
  <si>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</si>
  <si>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</si>
  <si>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</si>
  <si>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</si>
  <si>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</si>
  <si>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</si>
  <si>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</si>
  <si>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</si>
  <si>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</si>
  <si>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</si>
  <si>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</si>
  <si>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</si>
  <si>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</si>
  <si>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</si>
  <si>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</si>
  <si>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</si>
  <si>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</si>
  <si>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</si>
  <si>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</si>
  <si>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</si>
  <si>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</si>
  <si>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</si>
  <si>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</si>
  <si>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</si>
  <si>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</si>
  <si>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</si>
  <si>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</si>
  <si>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</si>
  <si>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</si>
  <si>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</si>
  <si>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</si>
  <si>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</si>
  <si>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</si>
  <si>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</si>
  <si>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</si>
  <si>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</si>
  <si>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</si>
  <si>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</si>
  <si>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</si>
  <si>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</si>
  <si>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</si>
  <si>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</si>
  <si>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</si>
  <si>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</si>
  <si>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</si>
  <si>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</si>
  <si>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</si>
  <si>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</si>
  <si>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</si>
  <si>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</si>
  <si>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</si>
  <si>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</si>
  <si>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</si>
  <si>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</si>
  <si>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</si>
  <si>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</si>
  <si>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</si>
  <si>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</si>
  <si>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</si>
  <si>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</si>
  <si>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</si>
  <si>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</si>
  <si>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</si>
  <si>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</si>
  <si>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</si>
  <si>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</si>
  <si>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</si>
  <si>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</si>
  <si>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</si>
  <si>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</si>
  <si>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</si>
  <si>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</si>
  <si>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</si>
  <si>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</si>
  <si>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</si>
  <si>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</si>
  <si>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</si>
  <si>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</si>
  <si>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</si>
  <si>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</si>
  <si>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</si>
  <si>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</si>
  <si>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</si>
  <si>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</si>
  <si>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</si>
  <si>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</si>
  <si>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</si>
  <si>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</si>
  <si>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</si>
  <si>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</si>
  <si>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</si>
  <si>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</si>
  <si>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</si>
  <si>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</si>
  <si>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</si>
  <si>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</si>
  <si>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</si>
  <si>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</si>
  <si>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</si>
  <si>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</si>
  <si>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</si>
  <si>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</si>
  <si>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</si>
  <si>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</si>
  <si>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</si>
  <si>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</si>
  <si>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</si>
  <si>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</si>
  <si>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</si>
  <si>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</si>
  <si>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</si>
  <si>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</si>
  <si>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</si>
  <si>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</si>
  <si>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</si>
  <si>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</si>
  <si>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</si>
  <si>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</si>
  <si>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</si>
  <si>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</si>
  <si>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</si>
  <si>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</si>
  <si>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</si>
  <si>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</si>
  <si>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</si>
  <si>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</si>
  <si>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</si>
  <si>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</si>
  <si>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</si>
  <si>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</si>
  <si>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</si>
  <si>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</si>
  <si>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</si>
  <si>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</si>
  <si>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</si>
  <si>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</si>
  <si>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</si>
  <si>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</si>
  <si>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</si>
  <si>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</si>
  <si>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</si>
  <si>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</si>
  <si>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</si>
  <si>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</si>
  <si>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</si>
  <si>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</si>
  <si>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</si>
  <si>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</si>
  <si>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</si>
  <si>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</si>
  <si>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</si>
  <si>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</si>
  <si>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</si>
  <si>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</si>
  <si>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</si>
  <si>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</si>
  <si>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</si>
  <si>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</si>
  <si>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</si>
  <si>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</si>
  <si>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</si>
  <si>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</si>
  <si>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</si>
  <si>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</si>
  <si>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</si>
  <si>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</si>
  <si>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</si>
  <si>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</si>
  <si>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</si>
  <si>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</si>
  <si>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</si>
  <si>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</si>
  <si>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</si>
  <si>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</si>
  <si>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</si>
  <si>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</si>
  <si>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</si>
  <si>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</si>
  <si>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</si>
  <si>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</si>
  <si>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</si>
  <si>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</si>
  <si>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</si>
  <si>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</si>
  <si>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</si>
  <si>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</si>
  <si>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</si>
  <si>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</si>
  <si>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</si>
  <si>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</si>
  <si>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</si>
  <si>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</si>
  <si>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</si>
  <si>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</si>
  <si>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</si>
  <si>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</si>
  <si>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</si>
  <si>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</si>
  <si>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</si>
  <si>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</si>
  <si>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</si>
  <si>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</si>
  <si>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</si>
  <si>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</si>
  <si>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</si>
  <si>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</si>
  <si>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</si>
  <si>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</si>
  <si>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</si>
  <si>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</si>
  <si>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</si>
  <si>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</si>
  <si>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</si>
  <si>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</si>
  <si>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</si>
  <si>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</si>
  <si>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</si>
  <si>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</si>
  <si>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</si>
  <si>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</si>
  <si>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</si>
  <si>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</si>
  <si>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</si>
  <si>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</si>
  <si>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</si>
  <si>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</si>
  <si>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</si>
  <si>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</si>
  <si>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</si>
  <si>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</si>
  <si>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</si>
  <si>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</si>
  <si>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</si>
  <si>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</si>
  <si>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</si>
  <si>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</si>
  <si>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</si>
  <si>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</si>
  <si>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</si>
  <si>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</si>
  <si>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</si>
  <si>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</si>
  <si>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</si>
  <si>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</si>
  <si>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</si>
  <si>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</si>
  <si>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</si>
  <si>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</si>
  <si>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</si>
  <si>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</si>
  <si>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</si>
  <si>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</si>
  <si>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</si>
  <si>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</si>
  <si>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</si>
  <si>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</si>
  <si>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</si>
  <si>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</si>
  <si>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</si>
  <si>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</si>
  <si>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</si>
  <si>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</si>
  <si>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</si>
  <si>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</si>
  <si>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</si>
  <si>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</si>
  <si>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</si>
  <si>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</si>
  <si>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</si>
  <si>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</si>
  <si>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</si>
  <si>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</si>
  <si>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</si>
  <si>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</si>
  <si>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</si>
  <si>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</si>
  <si>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</si>
  <si>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</si>
  <si>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</si>
  <si>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</si>
  <si>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</si>
  <si>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</si>
  <si>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</si>
  <si>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</si>
  <si>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</si>
  <si>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</si>
  <si>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</si>
  <si>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</si>
  <si>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</si>
  <si>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</si>
  <si>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</si>
  <si>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</si>
  <si>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</si>
  <si>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</si>
  <si>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</si>
  <si>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</si>
  <si>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</si>
  <si>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</si>
  <si>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</si>
  <si>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</si>
  <si>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</si>
  <si>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</si>
  <si>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</si>
  <si>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</si>
  <si>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</si>
  <si>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</si>
  <si>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</si>
  <si>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</si>
  <si>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</si>
  <si>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</si>
  <si>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</si>
  <si>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</si>
  <si>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</si>
  <si>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</si>
  <si>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</si>
  <si>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</si>
  <si>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</si>
  <si>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</si>
  <si>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</si>
  <si>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</si>
  <si>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</si>
  <si>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</si>
  <si>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</si>
  <si>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</si>
  <si>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</si>
  <si>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</si>
  <si>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</si>
  <si>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</si>
  <si>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</si>
  <si>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</si>
  <si>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</si>
  <si>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</si>
  <si>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</si>
  <si>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</si>
  <si>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</si>
  <si>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</si>
  <si>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</si>
  <si>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</si>
  <si>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</si>
  <si>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</si>
  <si>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</si>
  <si>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</si>
  <si>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</si>
  <si>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</si>
  <si>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</si>
  <si>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</si>
  <si>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</si>
  <si>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</si>
  <si>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</si>
  <si>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</si>
  <si>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</si>
  <si>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</si>
  <si>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</si>
  <si>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</si>
  <si>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</si>
  <si>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</si>
  <si>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</si>
  <si>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</si>
  <si>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</si>
  <si>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</si>
  <si>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</si>
  <si>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</si>
  <si>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</si>
  <si>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</si>
  <si>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</si>
  <si>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</si>
  <si>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</si>
  <si>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</si>
  <si>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</si>
  <si>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</si>
  <si>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</si>
  <si>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</si>
  <si>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</si>
  <si>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</si>
  <si>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</si>
  <si>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</si>
  <si>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</si>
  <si>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</si>
  <si>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</si>
  <si>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</si>
  <si>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</si>
  <si>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</si>
  <si>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</si>
  <si>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</si>
  <si>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</si>
  <si>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</si>
  <si>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</si>
  <si>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</si>
  <si>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</si>
  <si>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</si>
  <si>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</si>
  <si>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</si>
  <si>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</si>
  <si>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</si>
  <si>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</si>
  <si>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</si>
  <si>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</si>
  <si>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</si>
  <si>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</si>
  <si>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</si>
  <si>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</si>
  <si>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</si>
  <si>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</si>
  <si>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</si>
  <si>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</si>
  <si>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</si>
  <si>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</si>
  <si>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</si>
  <si>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</si>
  <si>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</si>
  <si>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</si>
  <si>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</si>
  <si>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</si>
  <si>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</si>
  <si>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</si>
  <si>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</si>
  <si>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</si>
  <si>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</si>
  <si>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</si>
  <si>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</si>
  <si>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</si>
  <si>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</si>
  <si>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</si>
  <si>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</si>
  <si>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</si>
  <si>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</si>
  <si>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</si>
  <si>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</si>
  <si>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</si>
  <si>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</si>
  <si>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</si>
  <si>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</si>
  <si>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</si>
  <si>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</si>
  <si>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</si>
  <si>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</si>
  <si>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</si>
  <si>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</si>
  <si>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</si>
  <si>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</si>
  <si>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</si>
  <si>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</si>
  <si>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</si>
  <si>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</si>
  <si>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</si>
  <si>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</si>
  <si>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</si>
  <si>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</si>
  <si>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</si>
  <si>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</si>
  <si>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</si>
  <si>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</si>
  <si>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</si>
  <si>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</si>
  <si>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</si>
  <si>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</si>
  <si>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</si>
  <si>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</si>
  <si>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</si>
  <si>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</si>
  <si>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</si>
  <si>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</si>
  <si>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</si>
  <si>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</si>
  <si>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</si>
  <si>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</si>
  <si>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</si>
  <si>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</si>
  <si>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</si>
  <si>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</si>
  <si>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</si>
  <si>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</si>
  <si>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</si>
  <si>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</si>
  <si>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</si>
  <si>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</si>
  <si>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</si>
  <si>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</si>
  <si>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</si>
  <si>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</si>
  <si>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</si>
  <si>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</si>
  <si>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</si>
  <si>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</si>
  <si>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</si>
  <si>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</si>
  <si>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</si>
  <si>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</si>
  <si>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</si>
  <si>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</si>
  <si>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</si>
  <si>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</si>
  <si>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</si>
  <si>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</si>
  <si>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</si>
  <si>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</si>
  <si>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</si>
  <si>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</si>
  <si>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</si>
  <si>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</si>
  <si>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</si>
  <si>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</si>
  <si>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</si>
  <si>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</si>
  <si>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</si>
  <si>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</si>
  <si>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</si>
  <si>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</si>
  <si>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</si>
  <si>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</si>
  <si>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</si>
  <si>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</si>
  <si>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</si>
  <si>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</si>
  <si>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</si>
  <si>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</si>
  <si>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</si>
  <si>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</si>
  <si>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</si>
  <si>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</si>
  <si>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</si>
  <si>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</si>
  <si>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</si>
  <si>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</si>
  <si>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</si>
  <si>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</si>
  <si>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</si>
  <si>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</si>
  <si>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</si>
  <si>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</si>
  <si>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</si>
  <si>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</si>
  <si>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</si>
  <si>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</si>
  <si>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</si>
  <si>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</si>
  <si>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</si>
  <si>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</si>
  <si>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</si>
  <si>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</si>
  <si>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</si>
  <si>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</si>
  <si>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</si>
  <si>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</si>
  <si>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</si>
  <si>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</si>
  <si>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</si>
  <si>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</si>
  <si>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</si>
  <si>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</si>
  <si>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</si>
  <si>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</si>
  <si>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</si>
  <si>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</si>
  <si>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</si>
  <si>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</si>
  <si>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</si>
  <si>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</si>
  <si>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</si>
  <si>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</si>
  <si>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</si>
  <si>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</si>
  <si>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</si>
  <si>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</si>
  <si>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</si>
  <si>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</si>
  <si>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</si>
  <si>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</si>
  <si>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</si>
  <si>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</si>
  <si>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</si>
  <si>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</si>
  <si>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</si>
  <si>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</si>
  <si>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</si>
  <si>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</si>
  <si>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</si>
  <si>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</si>
  <si>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</si>
  <si>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</si>
  <si>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</si>
  <si>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</si>
  <si>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</si>
  <si>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</si>
  <si>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</si>
  <si>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</si>
  <si>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</si>
  <si>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</si>
  <si>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</si>
  <si>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</si>
  <si>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</si>
  <si>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</si>
  <si>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</si>
  <si>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</si>
  <si>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</si>
  <si>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</si>
  <si>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</si>
  <si>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</si>
  <si>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</si>
  <si>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</si>
  <si>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</si>
  <si>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</si>
  <si>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</si>
  <si>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</si>
  <si>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</si>
  <si>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</si>
  <si>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</si>
  <si>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</si>
  <si>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</si>
  <si>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</si>
  <si>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</si>
  <si>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</si>
  <si>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</si>
  <si>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</si>
  <si>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</si>
  <si>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</si>
  <si>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</si>
  <si>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</si>
  <si>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</si>
  <si>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</si>
  <si>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</si>
  <si>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</si>
  <si>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</si>
  <si>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</si>
  <si>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</si>
  <si>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</si>
  <si>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</si>
  <si>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</si>
  <si>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</si>
  <si>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</si>
  <si>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</si>
  <si>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</si>
  <si>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</si>
  <si>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</si>
  <si>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</si>
  <si>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</si>
  <si>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</si>
  <si>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</si>
  <si>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</si>
  <si>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</si>
  <si>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</si>
  <si>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</si>
  <si>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</si>
  <si>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</si>
  <si>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</si>
  <si>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</si>
  <si>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</si>
  <si>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</si>
  <si>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</si>
  <si>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</si>
  <si>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</si>
  <si>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</si>
  <si>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</si>
  <si>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</si>
  <si>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</si>
  <si>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</si>
  <si>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</si>
  <si>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</si>
  <si>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</si>
  <si>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</si>
  <si>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</si>
  <si>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</si>
  <si>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</si>
  <si>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</si>
  <si>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</si>
  <si>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</si>
  <si>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</si>
  <si>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</si>
  <si>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</si>
  <si>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</si>
  <si>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</si>
  <si>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</si>
  <si>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</si>
  <si>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</si>
  <si>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</si>
  <si>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</si>
  <si>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</si>
  <si>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</si>
  <si>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</si>
  <si>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</si>
  <si>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</si>
  <si>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</si>
  <si>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</si>
  <si>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</si>
  <si>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</si>
  <si>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</si>
  <si>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</si>
  <si>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</si>
  <si>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</si>
  <si>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</si>
  <si>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</si>
  <si>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</si>
  <si>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</si>
  <si>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</si>
  <si>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</si>
  <si>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</si>
  <si>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</si>
  <si>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</si>
  <si>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</si>
  <si>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</si>
  <si>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</si>
  <si>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</si>
  <si>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</si>
  <si>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</si>
  <si>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</si>
  <si>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</si>
  <si>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</si>
  <si>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</si>
  <si>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</si>
  <si>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</si>
  <si>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</si>
  <si>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</si>
  <si>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</si>
  <si>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</si>
  <si>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</si>
  <si>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</si>
  <si>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</si>
  <si>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</si>
  <si>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</si>
  <si>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</si>
  <si>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</si>
  <si>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</si>
  <si>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</si>
  <si>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</si>
  <si>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</si>
  <si>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</si>
  <si>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</si>
  <si>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</si>
  <si>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</si>
  <si>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</si>
  <si>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</si>
  <si>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</si>
  <si>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</si>
  <si>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</si>
  <si>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</si>
  <si>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</si>
  <si>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</si>
  <si>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</si>
  <si>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</si>
  <si>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</si>
  <si>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</si>
  <si>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</si>
  <si>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</si>
  <si>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</si>
  <si>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</si>
  <si>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</si>
  <si>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</si>
  <si>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</si>
  <si>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</si>
  <si>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</si>
  <si>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</si>
  <si>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</si>
  <si>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</si>
  <si>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</si>
  <si>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</si>
  <si>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</si>
  <si>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</si>
  <si>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</si>
  <si>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</si>
  <si>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</si>
  <si>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</si>
  <si>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</si>
  <si>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</si>
  <si>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</si>
  <si>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</si>
  <si>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</si>
  <si>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</si>
  <si>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</si>
  <si>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</si>
  <si>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</si>
  <si>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</si>
  <si>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</si>
  <si>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</si>
  <si>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</si>
  <si>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</si>
  <si>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</si>
  <si>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</si>
  <si>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</si>
  <si>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</si>
  <si>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</si>
  <si>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</si>
  <si>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</si>
  <si>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</si>
  <si>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</si>
  <si>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</si>
  <si>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</si>
  <si>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</si>
  <si>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</si>
  <si>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</si>
  <si>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</si>
  <si>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</si>
  <si>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</si>
  <si>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</si>
  <si>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</si>
  <si>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</si>
  <si>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</si>
  <si>
    <t>543599</t>
  </si>
  <si>
    <t>554290</t>
  </si>
  <si>
    <t>Alfa II fogantyú profil 100mm arany/sárgaréz</t>
  </si>
  <si>
    <t>Tytan fogantyú profil 100mm 18mm oliva</t>
  </si>
  <si>
    <t>Alfa II úchytová lišta 18mm 100m zlatá/mosadz</t>
  </si>
  <si>
    <t>Tytan úchytová lišta 18mm 100m oliva</t>
  </si>
  <si>
    <t>Tytan rączka 100mm 18mm oliwka</t>
  </si>
  <si>
    <t>Alfa II profil de poignée 100mm 18mm or/laiton</t>
  </si>
  <si>
    <t>Tytan profil de poignée 100mm 18mm olive</t>
  </si>
  <si>
    <t>Tytan mounting bar 100mm olive</t>
  </si>
  <si>
    <t>Alfa II úchytová lišta 100mm zlatá/mosaz</t>
  </si>
  <si>
    <t>Tytan úchytová lišta 100mm 18mm oliva</t>
  </si>
  <si>
    <t>Alfa II rączka 100mm złoty/mosiądz</t>
  </si>
  <si>
    <t>Alfa II mounting bar 100mm gold/brass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</si>
</sst>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1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49" fontId="16" fillId="0" borderId="0" xfId="24" applyNumberFormat="1"/>
    <xf numFmtId="0" fontId="96" fillId="0" borderId="0" xfId="0" applyFont="1" applyAlignment="1">
      <alignment horizontal="right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6" fillId="0" borderId="0" xfId="79" applyAlignment="1" applyProtection="1">
      <alignment horizontal="center" wrapText="1"/>
      <protection hidden="1"/>
    </xf>
    <xf numFmtId="0" fontId="21" fillId="10" borderId="0" xfId="79" applyFont="1" applyFill="1" applyAlignment="1">
      <alignment horizontal="center" vertical="top" wrapText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22859</xdr:colOff>
          <xdr:row>16</xdr:row>
          <xdr:rowOff>388618</xdr:rowOff>
        </xdr:from>
        <xdr:to>
          <xdr:col>17</xdr:col>
          <xdr:colOff>731520</xdr:colOff>
          <xdr:row>18</xdr:row>
          <xdr:rowOff>1219199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5" spid="_x0000_s3479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564379" y="3253738"/>
              <a:ext cx="4869181" cy="19964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27" t="str">
        <f>texty!A22</f>
        <v>BEÉPÍTETT SZEKRÉNYEK</v>
      </c>
      <c r="B1" s="628"/>
      <c r="C1" s="628"/>
      <c r="D1" s="628"/>
      <c r="E1" s="628"/>
      <c r="F1" s="628"/>
      <c r="G1" s="628"/>
      <c r="H1" s="628"/>
      <c r="I1" s="62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30"/>
      <c r="B2" s="631"/>
      <c r="C2" s="631"/>
      <c r="D2" s="631"/>
      <c r="E2" s="631"/>
      <c r="F2" s="631"/>
      <c r="G2" s="631"/>
      <c r="H2" s="631"/>
      <c r="I2" s="63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3"/>
      <c r="B3" s="634"/>
      <c r="C3" s="634"/>
      <c r="D3" s="634"/>
      <c r="E3" s="634"/>
      <c r="F3" s="634"/>
      <c r="G3" s="634"/>
      <c r="H3" s="634"/>
      <c r="I3" s="63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8" t="str">
        <f>texty!A23</f>
        <v>Vevő</v>
      </c>
      <c r="B5" s="639"/>
      <c r="C5" s="639"/>
      <c r="D5" s="639"/>
      <c r="E5" s="639"/>
      <c r="F5" s="639"/>
      <c r="G5" s="639"/>
      <c r="H5" s="639"/>
      <c r="I5" s="639"/>
      <c r="J5" s="639"/>
      <c r="K5" s="639"/>
      <c r="L5" s="639"/>
      <c r="M5" s="639"/>
      <c r="N5" s="639"/>
      <c r="O5" s="639"/>
      <c r="P5" s="639"/>
      <c r="Q5" s="639"/>
      <c r="R5" s="639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4" t="str">
        <f>texty!A24</f>
        <v>Név:</v>
      </c>
      <c r="B7" s="625"/>
      <c r="C7" s="625"/>
      <c r="D7" s="626"/>
      <c r="E7" s="643"/>
      <c r="F7" s="644"/>
      <c r="G7" s="644"/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5"/>
      <c r="T7" s="1" t="str">
        <f>CONCATENATE(texty!A23,C7,", ",C9,", ",C11,texty!A27,+C13)</f>
        <v>Vevő, , VSZ: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36" t="str">
        <f>texty!A25</f>
        <v>Utca:</v>
      </c>
      <c r="B9" s="637"/>
      <c r="C9" s="640"/>
      <c r="D9" s="641"/>
      <c r="E9" s="641"/>
      <c r="F9" s="641"/>
      <c r="G9" s="641"/>
      <c r="H9" s="641"/>
      <c r="I9" s="641"/>
      <c r="J9" s="641"/>
      <c r="K9" s="641"/>
      <c r="L9" s="641"/>
      <c r="M9" s="641"/>
      <c r="N9" s="641"/>
      <c r="O9" s="641"/>
      <c r="P9" s="641"/>
      <c r="Q9" s="641"/>
      <c r="R9" s="642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24" t="str">
        <f>texty!A26</f>
        <v>Város, Irányító szám:</v>
      </c>
      <c r="B11" s="625"/>
      <c r="C11" s="626"/>
      <c r="D11" s="646"/>
      <c r="E11" s="647"/>
      <c r="F11" s="647"/>
      <c r="G11" s="647"/>
      <c r="H11" s="647"/>
      <c r="I11" s="647"/>
      <c r="J11" s="647"/>
      <c r="K11" s="647"/>
      <c r="L11" s="647"/>
      <c r="M11" s="647"/>
      <c r="N11" s="647"/>
      <c r="O11" s="647"/>
      <c r="P11" s="647"/>
      <c r="Q11" s="647"/>
      <c r="R11" s="648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50" t="str">
        <f>texty!A27</f>
        <v>VSZ:</v>
      </c>
      <c r="B13" s="637"/>
      <c r="C13" s="640"/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1"/>
      <c r="O13" s="641"/>
      <c r="P13" s="641"/>
      <c r="Q13" s="641"/>
      <c r="R13" s="642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50" t="str">
        <f>texty!A28</f>
        <v>Engedmény</v>
      </c>
      <c r="B15" s="651"/>
      <c r="C15" s="652"/>
      <c r="D15" s="653"/>
      <c r="E15" s="206" t="s">
        <v>55</v>
      </c>
      <c r="F15" s="207" t="str">
        <f>texty!A29</f>
        <v>Megjegyzés:</v>
      </c>
      <c r="G15" s="654"/>
      <c r="H15" s="655"/>
      <c r="I15" s="655"/>
      <c r="J15" s="655"/>
      <c r="K15" s="655"/>
      <c r="L15" s="655"/>
      <c r="M15" s="655"/>
      <c r="N15" s="655"/>
      <c r="O15" s="655"/>
      <c r="P15" s="655"/>
      <c r="Q15" s="655"/>
      <c r="R15" s="656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68"/>
      <c r="B16" s="669"/>
      <c r="C16" s="669"/>
      <c r="D16" s="669"/>
      <c r="E16" s="669"/>
      <c r="F16" s="669"/>
      <c r="G16" s="669"/>
      <c r="H16" s="669"/>
      <c r="I16" s="669"/>
      <c r="J16" s="669"/>
      <c r="K16" s="670"/>
      <c r="L16" s="670"/>
      <c r="M16" s="670"/>
      <c r="N16" s="670"/>
      <c r="O16" s="670"/>
      <c r="P16" s="670"/>
      <c r="Q16" s="670"/>
      <c r="R16" s="671"/>
    </row>
    <row r="17" spans="1:18" s="201" customFormat="1" ht="75" customHeight="1" x14ac:dyDescent="0.25">
      <c r="A17" s="657" t="str">
        <f>texty!A31</f>
        <v>Betét vas. 4mm (üveg/tükör) - Keretes ajtó</v>
      </c>
      <c r="B17" s="658"/>
      <c r="C17" s="659"/>
      <c r="D17" s="661" t="str">
        <f>VLOOKUP(D20,cennik!A:B,2,0)</f>
        <v>SEVROLL Fogantyúk 2023 - minta</v>
      </c>
      <c r="E17" s="662"/>
      <c r="F17" s="662"/>
      <c r="G17" s="662"/>
      <c r="H17" s="662"/>
      <c r="I17" s="663"/>
      <c r="J17" s="577"/>
      <c r="K17" s="566"/>
      <c r="L17" s="660" t="str">
        <f>texty!A275</f>
        <v>Kis profilminták</v>
      </c>
      <c r="M17" s="660"/>
      <c r="N17" s="660"/>
      <c r="O17" s="660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64">
        <v>494207</v>
      </c>
      <c r="E20" s="665"/>
      <c r="F20" s="665"/>
      <c r="G20" s="665"/>
      <c r="H20" s="665"/>
      <c r="I20" s="666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magasság 3 m-ig 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72" t="str">
        <f>texty!A30</f>
        <v>Betét vas. 10mm (vagy üveg/tükör a felhasznált tömítéssel- vas. 4 vagy 6 mm) - Keretes ajtó</v>
      </c>
      <c r="B22" s="673"/>
      <c r="C22" s="673"/>
      <c r="D22" s="673"/>
      <c r="E22" s="673"/>
      <c r="F22" s="673"/>
      <c r="G22" s="673"/>
      <c r="H22" s="673"/>
      <c r="I22" s="673"/>
      <c r="J22" s="673"/>
      <c r="K22" s="674"/>
      <c r="L22" s="674"/>
      <c r="M22" s="674"/>
      <c r="N22" s="674"/>
      <c r="O22" s="674"/>
      <c r="P22" s="674"/>
      <c r="Q22" s="674"/>
      <c r="R22" s="675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magasság 3 m-ig !</v>
      </c>
      <c r="O24" s="506"/>
      <c r="P24" s="586" t="str">
        <f>texty!A57</f>
        <v>magasság 3,5 m-ig 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67" t="s">
        <v>1005</v>
      </c>
      <c r="N28" s="667"/>
      <c r="O28" s="667"/>
      <c r="P28" s="667"/>
      <c r="Q28" s="667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49" t="s">
        <v>81</v>
      </c>
      <c r="E33" s="649"/>
      <c r="F33" s="649"/>
      <c r="G33" s="649"/>
      <c r="H33" s="649"/>
      <c r="I33" s="649"/>
      <c r="J33" s="649"/>
      <c r="K33" s="649"/>
      <c r="L33" s="649"/>
      <c r="M33" s="649"/>
      <c r="N33" s="649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17" t="str">
        <f>texty!A61</f>
        <v>GM 18 rendszer (FFL 18mm és üveg kombináció) (keretes)</v>
      </c>
      <c r="B44" s="618"/>
      <c r="C44" s="618"/>
      <c r="D44" s="618"/>
      <c r="E44" s="618"/>
      <c r="F44" s="618"/>
      <c r="G44" s="618"/>
      <c r="H44" s="212"/>
      <c r="I44" s="623" t="str">
        <f>texty!A221</f>
        <v>Blue 18 mm (keretes)</v>
      </c>
      <c r="J44" s="623"/>
      <c r="K44" s="623"/>
      <c r="L44" s="623"/>
      <c r="M44" s="212"/>
      <c r="N44" s="616" t="str">
        <f>texty!A220</f>
        <v>Blue 18 mm (KERET NÉLKÜLI)</v>
      </c>
      <c r="O44" s="616"/>
      <c r="P44" s="616"/>
      <c r="Q44" s="61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ÚJDONSÁG</v>
      </c>
      <c r="K45" s="264"/>
      <c r="L45" s="239" t="str">
        <f>texty!A151</f>
        <v>ÚJDONSÁG</v>
      </c>
      <c r="M45" s="212"/>
      <c r="N45" s="239" t="str">
        <f>texty!A151</f>
        <v>ÚJDONSÁG</v>
      </c>
      <c r="O45" s="238"/>
      <c r="P45" s="239" t="str">
        <f>texty!A151</f>
        <v>ÚJDONSÁG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19" t="str">
        <f>texty!A253</f>
        <v>GM 18 rendszer (FFL 18mm és üveg kombináció) (keret nélküli)</v>
      </c>
      <c r="B50" s="619"/>
      <c r="C50" s="619"/>
      <c r="D50" s="619"/>
      <c r="E50" s="619"/>
      <c r="F50" s="619"/>
      <c r="G50" s="223"/>
      <c r="H50" s="458"/>
      <c r="I50" s="212"/>
      <c r="J50" s="212"/>
      <c r="K50" s="616" t="str">
        <f>texty!A222</f>
        <v>Comfort Systém</v>
      </c>
      <c r="L50" s="616"/>
      <c r="M50" s="616"/>
      <c r="N50" s="616"/>
      <c r="O50" s="616"/>
      <c r="P50" s="616"/>
      <c r="Q50" s="616"/>
      <c r="R50" s="215"/>
    </row>
    <row r="51" spans="1:18" s="51" customFormat="1" ht="16.5" customHeight="1" thickBot="1" x14ac:dyDescent="0.35">
      <c r="A51" s="619"/>
      <c r="B51" s="619"/>
      <c r="C51" s="619"/>
      <c r="D51" s="619"/>
      <c r="E51" s="619"/>
      <c r="F51" s="619"/>
      <c r="G51" s="223"/>
      <c r="H51" s="458"/>
      <c r="I51" s="212"/>
      <c r="J51" s="212"/>
      <c r="K51" s="616"/>
      <c r="L51" s="616"/>
      <c r="M51" s="616"/>
      <c r="N51" s="616"/>
      <c r="O51" s="616"/>
      <c r="P51" s="616"/>
      <c r="Q51" s="616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21" t="s">
        <v>4</v>
      </c>
      <c r="B55" s="622"/>
      <c r="C55" s="622"/>
      <c r="D55" s="622"/>
      <c r="E55" s="622"/>
      <c r="F55" s="622"/>
      <c r="G55" s="622"/>
      <c r="H55" s="622"/>
      <c r="I55" s="622"/>
      <c r="J55" s="622"/>
      <c r="K55" s="622"/>
      <c r="L55" s="622"/>
      <c r="M55" s="622"/>
      <c r="N55" s="622"/>
      <c r="O55" s="622"/>
      <c r="P55" s="622"/>
      <c r="Q55" s="622"/>
      <c r="R55" s="622"/>
    </row>
    <row r="56" spans="1:18" ht="9.75" customHeight="1" x14ac:dyDescent="0.3"/>
    <row r="57" spans="1:18" ht="17.399999999999999" x14ac:dyDescent="0.3">
      <c r="A57" s="620" t="str">
        <f>texty!A190</f>
        <v>További tartozékok tolóajtó rendszerekhez</v>
      </c>
      <c r="B57" s="620"/>
      <c r="C57" s="620"/>
      <c r="D57" s="620"/>
      <c r="E57" s="620"/>
      <c r="F57" s="620"/>
      <c r="G57" s="620"/>
      <c r="H57" s="620"/>
      <c r="I57" s="620"/>
      <c r="J57" s="620"/>
      <c r="K57" s="620"/>
      <c r="L57" s="620"/>
      <c r="M57" s="620"/>
      <c r="N57" s="620"/>
      <c r="O57" s="620"/>
      <c r="P57" s="620"/>
      <c r="Q57" s="620"/>
    </row>
    <row r="58" spans="1:18" ht="15" customHeight="1" x14ac:dyDescent="0.3"/>
    <row r="59" spans="1:18" ht="15" customHeight="1" x14ac:dyDescent="0.3">
      <c r="A59" s="51" t="str">
        <f>texty!A144</f>
        <v>Használati utasítás:</v>
      </c>
    </row>
    <row r="60" spans="1:18" ht="15" customHeight="1" x14ac:dyDescent="0.3">
      <c r="A60" s="1" t="str">
        <f>texty!A134</f>
        <v>1. Töltse ki a kapcsolati adatokat, beadhatja a partner engedményét is. Ezek az adatok át lesznek mentve az egyes lapokra</v>
      </c>
    </row>
    <row r="61" spans="1:18" ht="15" customHeight="1" x14ac:dyDescent="0.3">
      <c r="A61" s="1" t="str">
        <f>texty!A135</f>
        <v>2. Válassza ki a kívánt fogantyú profilt (kattintson a profil névre a kép alatt)</v>
      </c>
    </row>
    <row r="62" spans="1:18" ht="15" customHeight="1" x14ac:dyDescent="0.3">
      <c r="A62" s="1" t="str">
        <f>texty!A136</f>
        <v>3. A kivánt oldalon töltse ki a nyílás méretét.</v>
      </c>
    </row>
    <row r="63" spans="1:18" ht="15" customHeight="1" x14ac:dyDescent="0.3">
      <c r="A63" s="1" t="str">
        <f>texty!A137</f>
        <v xml:space="preserve">4. Töltse ki az ajtók számát, amelyek a csoportba tartoznak </v>
      </c>
    </row>
    <row r="64" spans="1:18" ht="15" customHeight="1" x14ac:dyDescent="0.3">
      <c r="A64" s="1" t="str">
        <f>texty!A138</f>
        <v>5. Válassza ki a kivánt profil színt (kattintson a szín mezőre, ezután kattintson a nyílra – megjelenik a jegyzék, itt válassza ki a színt)</v>
      </c>
    </row>
    <row r="65" spans="1:19" ht="15" customHeight="1" x14ac:dyDescent="0.3">
      <c r="A65" s="1" t="str">
        <f>texty!A139</f>
        <v>6. Abban az esetben, ha az ajtót szét akarja osztani profilokkal, adja meg a szórólap alján a profilok számát</v>
      </c>
    </row>
    <row r="66" spans="1:19" ht="15" customHeight="1" x14ac:dyDescent="0.3">
      <c r="A66" s="1" t="str">
        <f>texty!A140</f>
        <v xml:space="preserve">7. Abban az esetben, amikor az ajtót választó profillal akarja elválasztani, a nyomtatványon válassza ki az elválasztó profilok számát. </v>
      </c>
    </row>
    <row r="67" spans="1:19" ht="15" customHeight="1" x14ac:dyDescent="0.3">
      <c r="A67" s="1" t="str">
        <f>texty!A141</f>
        <v xml:space="preserve">     A tömítés hossza egy szárnyra van megadva.  </v>
      </c>
    </row>
    <row r="68" spans="1:19" ht="15" customHeight="1" x14ac:dyDescent="0.3">
      <c r="A68" s="1" t="str">
        <f>texty!A142</f>
        <v xml:space="preserve">    A tömítés hossza olyan esetre van számítva, hogy az egész betét üveg/tükör.</v>
      </c>
      <c r="H68" s="190"/>
      <c r="I68" s="190"/>
      <c r="J68" s="190"/>
    </row>
    <row r="69" spans="1:19" ht="15" customHeight="1" x14ac:dyDescent="0.3">
      <c r="A69" s="1" t="str">
        <f>texty!A143</f>
        <v>8. A fogantyú profil osztása esetén a vágás szélessége kb 5mm-re van számítva.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15" t="str">
        <f>texty!A153</f>
        <v>Feldolgozva a gyártó által biztosított adatok alapján, hibalehetőség  fenntartva. Főleg tömegtermelésnél prototípus legyártását ajánljuk.</v>
      </c>
      <c r="B74" s="615"/>
      <c r="C74" s="615"/>
      <c r="D74" s="615"/>
      <c r="E74" s="615"/>
      <c r="F74" s="615"/>
      <c r="G74" s="615"/>
      <c r="H74" s="615"/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5"/>
    </row>
    <row r="75" spans="1:19" ht="15" customHeight="1" x14ac:dyDescent="0.3">
      <c r="A75" s="615"/>
      <c r="B75" s="615"/>
      <c r="C75" s="615"/>
      <c r="D75" s="615"/>
      <c r="E75" s="615"/>
      <c r="F75" s="615"/>
      <c r="G75" s="615"/>
      <c r="H75" s="615"/>
      <c r="I75" s="615"/>
      <c r="J75" s="615"/>
      <c r="K75" s="615"/>
      <c r="L75" s="615"/>
      <c r="M75" s="615"/>
      <c r="N75" s="615"/>
      <c r="O75" s="615"/>
      <c r="P75" s="615"/>
      <c r="Q75" s="615"/>
      <c r="R75" s="615"/>
      <c r="S75" s="615"/>
    </row>
    <row r="76" spans="1:19" ht="15" hidden="1" customHeight="1" x14ac:dyDescent="0.3">
      <c r="S76" s="612">
        <v>4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AVWiaMygDF9K92a58zEJ3YXt/KRudoMUPUMrKtRSj1BpQBqLewP39yhfZyjIGGrJGgzoCHL6UhNN5bOIKMSY4Q==" saltValue="idgnEtCWdjLhVoD1wGmrdQ==" spinCount="100000" sheet="1" objects="1" scenarios="1"/>
  <mergeCells count="29"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  <mergeCell ref="A11:C11"/>
    <mergeCell ref="A1:I3"/>
    <mergeCell ref="A9:B9"/>
    <mergeCell ref="A5:R5"/>
    <mergeCell ref="C9:R9"/>
    <mergeCell ref="A7:D7"/>
    <mergeCell ref="E7:R7"/>
    <mergeCell ref="D11:R11"/>
    <mergeCell ref="A74:S75"/>
    <mergeCell ref="K50:Q51"/>
    <mergeCell ref="A44:G44"/>
    <mergeCell ref="A50:F51"/>
    <mergeCell ref="A57:Q57"/>
    <mergeCell ref="A55:R55"/>
    <mergeCell ref="I44:L44"/>
    <mergeCell ref="N44:Q44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2" sqref="A2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4</v>
      </c>
      <c r="B2" s="183" t="str">
        <f>IF(A2=1,"Kč",IF(A2=2,"EUR",IF(A2=3,"zł",IF(A2=4,"Ft",IF(A2&gt;4,"EUR","chyba")))))</f>
        <v>Ft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csavar 2,5x18mm</v>
      </c>
      <c r="C3" s="185">
        <f>IF($A$2=1,H3,IF($A$2=2,I3,IF($A$2=3,J3,IF($A$2=4,K3,IF($A$2&gt;4,O3,"zadat jazyk")))))</f>
        <v>11.584149999999999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kapocs támfalas keféhez</v>
      </c>
      <c r="C4" s="185">
        <f t="shared" ref="C4:C67" si="1">IF($A$2=1,H4,IF($A$2=2,I4,IF($A$2=3,J4,IF($A$2=4,K4,IF($A$2&gt;4,O4,"zadat jazyk")))))</f>
        <v>30.754100000000001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csavar Blue 6,3x45</v>
      </c>
      <c r="C5" s="185">
        <f t="shared" si="1"/>
        <v>61.50817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SEVROLL20001  csavar 6,3x32 SEVROLL a Simple</v>
      </c>
      <c r="C6" s="185">
        <f t="shared" si="1"/>
        <v>61.50817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finomállító HI-TEC alsó görgőhöz</v>
      </c>
      <c r="C7" s="185">
        <f t="shared" si="1"/>
        <v>123.01676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hordozó elem csillapítóhoz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támfalas kefe öntapadó 6,7x4mm szürke</v>
      </c>
      <c r="C9" s="185">
        <f t="shared" si="1"/>
        <v>102.51391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finomállító alsó görgő-höz</v>
      </c>
      <c r="C10" s="185">
        <f t="shared" si="1"/>
        <v>143.51965000000001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Simple/Blue finomállító felső görgő-höz</v>
      </c>
      <c r="C11" s="185">
        <f t="shared" si="1"/>
        <v>184.52493999999999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fék (2db a csomagolásban)</v>
      </c>
      <c r="C12" s="185">
        <f t="shared" si="1"/>
        <v>230.36161999999999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OKE-támfalas kefe öntapadó 6,7x4mm fehér</v>
      </c>
      <c r="C13" s="185" t="e">
        <f t="shared" si="1"/>
        <v>#N/A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fék Hide N és M profilhoz</v>
      </c>
      <c r="C14" s="185">
        <f t="shared" si="1"/>
        <v>1041.6357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vezető tövis</v>
      </c>
      <c r="C15" s="185">
        <f t="shared" si="1"/>
        <v>284.76100000000002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OKE-támfalas kefe öntapadó 6,7x12mm fehér</v>
      </c>
      <c r="C16" s="185" t="e">
        <f t="shared" si="1"/>
        <v>#N/A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tömítés üvegre 10/6,4mm</v>
      </c>
      <c r="C17" s="185">
        <f t="shared" si="1"/>
        <v>317.79295000000002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SEVROLL20171 tömítés üvegre 10,1/8mm</v>
      </c>
      <c r="C18" s="185">
        <f t="shared" si="1"/>
        <v>317.79295000000002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Exclusive fék gömbölyű alsó</v>
      </c>
      <c r="C19" s="185">
        <f t="shared" si="1"/>
        <v>441.87027999999998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20223 takaró profil alsó vezetésre Simple/Blue átlátszó</v>
      </c>
      <c r="C20" s="185">
        <f t="shared" si="1"/>
        <v>399.80439000000001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Fix finomállító felső görgő-höz transzparens</v>
      </c>
      <c r="C21" s="185">
        <f t="shared" si="1"/>
        <v>481.81545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felső görgő</v>
      </c>
      <c r="C23" s="185">
        <f t="shared" si="1"/>
        <v>625.33465000000001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alsó görgő</v>
      </c>
      <c r="C24" s="185">
        <f t="shared" si="1"/>
        <v>625.33465000000001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felső görgő Simple 18mm szimmetrikus J+B</v>
      </c>
      <c r="C25" s="185">
        <f t="shared" si="1"/>
        <v>778.25313000000006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felső/alsó vezetés 1,7m nyers</v>
      </c>
      <c r="C26" s="185">
        <f t="shared" si="1"/>
        <v>1001.57265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szögletvas Mini 17x11mm 1,7m ezüst</v>
      </c>
      <c r="C27" s="185">
        <f t="shared" si="1"/>
        <v>941.47843999999998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tömítés üvegre 18/4mm szimmetrikus</v>
      </c>
      <c r="C28" s="185">
        <f t="shared" si="1"/>
        <v>912.37392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tömítés üvegre 18/8mm szimmetrikus</v>
      </c>
      <c r="C29" s="185">
        <f t="shared" si="1"/>
        <v>912.37392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alsó görgő Blue C keretes rendszer - 2db</v>
      </c>
      <c r="C30" s="185">
        <f t="shared" si="1"/>
        <v>1158.40705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tömítés üvegre 18/4-4,5mm aszimmetrikus</v>
      </c>
      <c r="C31" s="185">
        <f t="shared" si="1"/>
        <v>908.27302999999995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alsó görgő WD 18C HI-TEC</v>
      </c>
      <c r="C32" s="185" t="e">
        <f t="shared" si="1"/>
        <v>#N/A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alsó görgő DTD 18mm-2db+finomáll.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szögletvas Mini 17x11mm 1,7m arany</v>
      </c>
      <c r="C34" s="185">
        <f t="shared" si="1"/>
        <v>1181.85564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 felső görgő Blue (18 mm-es rétegeltlemez) keretes J+B</v>
      </c>
      <c r="C35" s="185">
        <f t="shared" si="1"/>
        <v>1435.1946800000001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szögletvas Mini 17x11mm 1,7m oliva</v>
      </c>
      <c r="C36" s="185">
        <f t="shared" si="1"/>
        <v>1181.85564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SEVROLL50235  Micra felső/alsó vezetés 2,35m nyers</v>
      </c>
      <c r="C37" s="185">
        <f t="shared" si="1"/>
        <v>1392.18614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"U" profil rétegelt lemezhez 10mm 2m ezüst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szögletvas Mini 17x11mm 2,35m ezüst</v>
      </c>
      <c r="C39" s="185">
        <f t="shared" si="1"/>
        <v>1302.0444299999999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 felső görgő Blue 10mm aszimmetrikus J+B</v>
      </c>
      <c r="C40" s="185">
        <f t="shared" si="1"/>
        <v>1435.1946800000001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felső görgő Blue (18 mm-es rétegeltlemez) keret nélküli J+B</v>
      </c>
      <c r="C41" s="185">
        <f t="shared" si="1"/>
        <v>1435.1946800000001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szögletvas Mini 17x11mm 1,7m fényes fehér</v>
      </c>
      <c r="C42" s="185">
        <f t="shared" si="1"/>
        <v>1221.9187199999999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"U" Mini profil 18 mm-es rétegeltlemezre 3m ezüst</v>
      </c>
      <c r="C44" s="185">
        <f t="shared" si="1"/>
        <v>1432.24881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szögletvas K2 Decor 1,7m oliva</v>
      </c>
      <c r="C45" s="185">
        <f t="shared" si="1"/>
        <v>1652.5948699999999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takaró profil Elegant II 1,7m fényes fehér</v>
      </c>
      <c r="C46" s="185">
        <f t="shared" si="1"/>
        <v>1282.0129099999999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Micra felső/alsó vezetés 1,7m oliva</v>
      </c>
      <c r="C47" s="185">
        <f t="shared" si="1"/>
        <v>1542.42202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PAX távtartó profil 04 3m ezüst</v>
      </c>
      <c r="C48" s="185">
        <f t="shared" si="1"/>
        <v>1382.1701800000001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 01135 Smart alsó vezetés 1,7m ezüst</v>
      </c>
      <c r="C49" s="185">
        <f t="shared" si="1"/>
        <v>1502.35897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02306  dísz profil S10 3m ezüst</v>
      </c>
      <c r="C50" s="185">
        <f t="shared" si="1"/>
        <v>1312.05999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szögletvas K2 Decor 1,7m ezüst</v>
      </c>
      <c r="C51" s="185">
        <f t="shared" si="1"/>
        <v>1322.0759599999999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felső/alsó vezetés 1,7m ezüst elox</v>
      </c>
      <c r="C52" s="185">
        <f t="shared" si="1"/>
        <v>1292.0288700000001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alsó görgő Simple (keret nélküli 18mm) - 2db</v>
      </c>
      <c r="C53" s="185">
        <f t="shared" si="1"/>
        <v>1629.97126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felső/alsó vezetés 3m nyers</v>
      </c>
      <c r="C54" s="185">
        <f t="shared" si="1"/>
        <v>1772.7836600000001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 00094 szögletvas Mini 17x11mm 2,35m oliva</v>
      </c>
      <c r="C55" s="185">
        <f t="shared" si="1"/>
        <v>1632.56332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szögletvas Mini 17x11mm 2,35m arany</v>
      </c>
      <c r="C56" s="185">
        <f t="shared" si="1"/>
        <v>1632.56332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szögletvas Mini 17x11mm 3m ezüst</v>
      </c>
      <c r="C57" s="185">
        <f t="shared" si="1"/>
        <v>1662.61043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"U" Mini profil 18 mm-es rétegeltlemezre 3m oliva</v>
      </c>
      <c r="C58" s="185">
        <f t="shared" si="1"/>
        <v>1792.81519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takaró profil Elegant II 1,7m fekete szálcsiszolt</v>
      </c>
      <c r="C59" s="185">
        <f t="shared" si="1"/>
        <v>1792.81519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takaró profil Elegant II 1,7m oliva szálcsiszolt</v>
      </c>
      <c r="C60" s="185">
        <f t="shared" si="1"/>
        <v>1792.81519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takaró profil Elegant II 1,7m oliva sötét szálcsiszolt</v>
      </c>
      <c r="C61" s="185">
        <f t="shared" si="1"/>
        <v>1792.81519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szögletvas K2 1,7m fekete szálcsiszolt</v>
      </c>
      <c r="C62" s="185">
        <f t="shared" si="1"/>
        <v>1882.95649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alsó görgő Blue C keret nélküli 18mm-hez - 2db</v>
      </c>
      <c r="C63" s="185">
        <f t="shared" si="1"/>
        <v>1896.5072500000001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Exclusive fék gumi felső</v>
      </c>
      <c r="C64" s="185" t="e">
        <f t="shared" si="1"/>
        <v>#N/A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dísz profil S10 3m oliva</v>
      </c>
      <c r="C65" s="185">
        <f t="shared" si="1"/>
        <v>1642.5792899999999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szögletvas 10x10mm 3m ezüst</v>
      </c>
      <c r="C66" s="185">
        <f t="shared" si="1"/>
        <v>1602.5162399999999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szögletvas Mini 17x11mm 2,35m fényes fehér</v>
      </c>
      <c r="C67" s="185">
        <f t="shared" si="1"/>
        <v>1692.6579200000001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Blue-C alsó vezetés 1,5m ezüst</v>
      </c>
      <c r="C68" s="185" t="e">
        <f t="shared" ref="C68:C131" si="3">IF($A$2=1,H68,IF($A$2=2,I68,IF($A$2=3,J68,IF($A$2=4,K68,IF($A$2&gt;4,O68,"zadat jazyk")))))</f>
        <v>#N/A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 "U" profil rétegelt lemezhez 18mm 3m ezüst</v>
      </c>
      <c r="C69" s="185">
        <f t="shared" si="3"/>
        <v>1832.8778600000001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szögletvas K2 1,7m oliva sötét szálcsiszolt</v>
      </c>
      <c r="C70" s="185">
        <f t="shared" si="3"/>
        <v>1882.95649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 szögletvas K2 Decor 1,7m oliva szálcsiszolt</v>
      </c>
      <c r="C71" s="185">
        <f t="shared" si="3"/>
        <v>1882.95649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alsó görgő Blue V keret nélküli 18mm-hez - 2db</v>
      </c>
      <c r="C72" s="185">
        <f t="shared" si="3"/>
        <v>1896.5072500000001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First felső/alsó vezetés 1,2m oliva</v>
      </c>
      <c r="C73" s="185" t="e">
        <f t="shared" si="3"/>
        <v>#N/A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First felső/alsó vezetés 1,2m ezüst</v>
      </c>
      <c r="C74" s="185" t="e">
        <f t="shared" si="3"/>
        <v>#N/A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távtartó profil 04 3m fényes fehér</v>
      </c>
      <c r="C75" s="185">
        <f t="shared" si="3"/>
        <v>1792.81519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alsó görgő 18 mm-es rétegeltlemez finomállító nélkül rugó nélkü</v>
      </c>
      <c r="C76" s="185">
        <f t="shared" si="3"/>
        <v>1937.5129899999999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"U" profil rétegelt lemezhez 10mm 3m ezüst</v>
      </c>
      <c r="C77" s="185">
        <f t="shared" si="3"/>
        <v>1913.0035700000001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 04314  takaró profil Elegant II 2,35m fényes fehér</v>
      </c>
      <c r="C78" s="185">
        <f t="shared" si="3"/>
        <v>1772.7836600000001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szögletvas K2 Decor 2,35m arany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alsó vezetés 1,7m ezüst</v>
      </c>
      <c r="C80" s="185" t="e">
        <f t="shared" si="3"/>
        <v>#N/A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oldalsó végzáró Herkules Glas takaró profilhoz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Micra felső/alsó vezetés 2,35m oliva</v>
      </c>
      <c r="C82" s="185">
        <f t="shared" si="3"/>
        <v>2133.3496399999999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Blue-C alsó vezetés 1,5m oliva</v>
      </c>
      <c r="C83" s="185" t="e">
        <f t="shared" si="3"/>
        <v>#N/A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alsó vezetés 2,35m ezüst</v>
      </c>
      <c r="C85" s="185">
        <f t="shared" si="3"/>
        <v>2063.2394800000002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Doubler II takaró profil 1,7m ezüst</v>
      </c>
      <c r="C86" s="185">
        <f t="shared" si="3"/>
        <v>1812.8463300000001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szögletvas Mini 17x11mm 3m oliva</v>
      </c>
      <c r="C87" s="185">
        <f t="shared" si="3"/>
        <v>2073.2554399999999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szögletvas Mini 17x11mm 3m arany</v>
      </c>
      <c r="C88" s="185">
        <f t="shared" si="3"/>
        <v>2073.2554399999999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 00070 szögletvas K2 Decor 2,35m oliva</v>
      </c>
      <c r="C89" s="185">
        <f t="shared" si="3"/>
        <v>2293.6015000000002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szögletvas K2 Decor 2,35m ezüst</v>
      </c>
      <c r="C90" s="185">
        <f t="shared" si="3"/>
        <v>1832.8778600000001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Maxim II takaró profil 1,8m ezüst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felső/alsó vezetés 2,35m ezüst elox</v>
      </c>
      <c r="C92" s="185">
        <f t="shared" si="3"/>
        <v>1792.81519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kétoldalú ragasztśzalag 50mm 10m</v>
      </c>
      <c r="C93" s="185">
        <f t="shared" si="3"/>
        <v>1947.7642000000001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Doubler II takaró profil 1,7m oliva</v>
      </c>
      <c r="C94" s="185">
        <f t="shared" si="3"/>
        <v>2193.4442399999998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alsó vezetés 1,5m ezüst</v>
      </c>
      <c r="C95" s="185">
        <f t="shared" si="3"/>
        <v>2500.9061700000002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"U" profil rétegelt lemezhez 16mm 3m ezüst</v>
      </c>
      <c r="C96" s="185">
        <f t="shared" si="3"/>
        <v>2323.6486100000002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szögletvas Mini 17x11mm 3m matt fehér</v>
      </c>
      <c r="C97" s="185">
        <f t="shared" si="3"/>
        <v>2163.3967400000001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takaró profil Elegant II 2,35m oliva sötét szálcsiszolt</v>
      </c>
      <c r="C98" s="185">
        <f t="shared" si="3"/>
        <v>2463.8685500000001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alsó görgő WD 18C HI-TEC - 2db</v>
      </c>
      <c r="C99" s="185">
        <f t="shared" si="3"/>
        <v>2060.5293299999998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"U" profil rétegelt lemezhez 18mm 3m oliva</v>
      </c>
      <c r="C100" s="185">
        <f t="shared" si="3"/>
        <v>2293.6015000000002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"U" profil rétegelt lemezhez 18mm 3m arany</v>
      </c>
      <c r="C101" s="185">
        <f t="shared" si="3"/>
        <v>2293.6015000000002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Focus 16mm fogantyú profil 2,7m ezüst</v>
      </c>
      <c r="C102" s="185">
        <f t="shared" si="3"/>
        <v>2604.08887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takaró profil Elegant II 2,35m fekete szálcsiszolt</v>
      </c>
      <c r="C103" s="185">
        <f t="shared" si="3"/>
        <v>2463.8685500000001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 04349-Y  takaró profil Elegant II 2,35m oliva szálcsiszolt</v>
      </c>
      <c r="C104" s="185">
        <f t="shared" si="3"/>
        <v>2463.8685500000001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végzáró Hide N profilhoz ezüst</v>
      </c>
      <c r="C105" s="185">
        <f t="shared" si="3"/>
        <v>2073.2554399999999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felső vezető profil Simple/Blue 1,5m (10 mm-es rétegeltlemez) ezüs</v>
      </c>
      <c r="C106" s="185">
        <f t="shared" si="3"/>
        <v>2349.9249199999999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alsó vezetés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szögletvas 10x18mm 3m ezüst</v>
      </c>
      <c r="C108" s="185">
        <f t="shared" si="3"/>
        <v>2193.4442399999998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Blue-C alsó vezetés 2m ezüst</v>
      </c>
      <c r="C109" s="185">
        <f t="shared" si="3"/>
        <v>2716.14725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Blue-V alsó vezetés 1,5m ezüst</v>
      </c>
      <c r="C110" s="185">
        <f t="shared" si="3"/>
        <v>2370.2706699999999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 00490 Focus 18mm fogantyú profil 2,7m ezüst</v>
      </c>
      <c r="C111" s="185">
        <f t="shared" si="3"/>
        <v>2604.08887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szögletvas K2 2,35m fekete szálcsiszolt</v>
      </c>
      <c r="C112" s="185">
        <f t="shared" si="3"/>
        <v>2604.08887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szögletvas K2 2,35m oliva sötét szálcsiszolt</v>
      </c>
      <c r="C113" s="185">
        <f t="shared" si="3"/>
        <v>2604.08887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"U" profil rétegelt lemezhez 18mm 3m fényes fehér</v>
      </c>
      <c r="C114" s="185">
        <f t="shared" si="3"/>
        <v>2383.7428100000002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fogantyú profil 2,70m ezüst</v>
      </c>
      <c r="C115" s="185">
        <f t="shared" si="3"/>
        <v>3024.74946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Focus II 16mm fogantyú profil 2,7m ezüst</v>
      </c>
      <c r="C116" s="185">
        <f t="shared" si="3"/>
        <v>3195.0168899999999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 takaró profil Elegant II 3m fényes fehér</v>
      </c>
      <c r="C117" s="185">
        <f t="shared" si="3"/>
        <v>2263.5540099999998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Blue-V alsó vezetés 1,5m oliva</v>
      </c>
      <c r="C118" s="185">
        <f t="shared" si="3"/>
        <v>2960.2950700000001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szögletvas K2 Decor 2,35m oliva szálcsiszolt</v>
      </c>
      <c r="C119" s="185">
        <f t="shared" si="3"/>
        <v>2604.08887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összekötő profil T04 3m ezüst</v>
      </c>
      <c r="C120" s="185">
        <f t="shared" si="3"/>
        <v>2764.34033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Blue-C alsó vezetés 2m oliva</v>
      </c>
      <c r="C121" s="185" t="e">
        <f t="shared" si="3"/>
        <v>#N/A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fogantyú profil 2,70m ezüst</v>
      </c>
      <c r="C122" s="185">
        <f t="shared" si="3"/>
        <v>2944.62372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 00071 szögletvas K2 Decor 3m oliva</v>
      </c>
      <c r="C123" s="185">
        <f t="shared" si="3"/>
        <v>2914.5762300000001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szögletvas K2 Decor 3m ezüst</v>
      </c>
      <c r="C124" s="185">
        <f t="shared" si="3"/>
        <v>2343.6801399999999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fogantyú profil 2,7m ezüst</v>
      </c>
      <c r="C125" s="185">
        <f t="shared" si="3"/>
        <v>3195.0168899999999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 Micra felső/alsó vezetés 3m ezüst elox</v>
      </c>
      <c r="C126" s="185">
        <f t="shared" si="3"/>
        <v>2283.58554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profil "U" Decor 16 mm-es rétegelt lemezhez 3m ezüst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dísz profil S20 3m ezüst</v>
      </c>
      <c r="C128" s="185">
        <f t="shared" si="3"/>
        <v>2393.7587699999999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alsó vezetés 1,7m ezüst</v>
      </c>
      <c r="C129" s="185">
        <f t="shared" si="3"/>
        <v>2719.9571500000002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Hide M alsó vezetés 2,35m ezüst</v>
      </c>
      <c r="C130" s="185" t="e">
        <f t="shared" si="3"/>
        <v>#N/A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Focus 16mm fogantyú profil 2,7m oliva</v>
      </c>
      <c r="C131" s="185">
        <f t="shared" si="3"/>
        <v>3255.1110800000001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takaró profil 2,35m ezüst</v>
      </c>
      <c r="C132" s="185">
        <f t="shared" ref="C132:C195" si="5">IF($A$2=1,H132,IF($A$2=2,I132,IF($A$2=3,J132,IF($A$2=4,K132,IF($A$2&gt;4,O132,"zadat jazyk")))))</f>
        <v>2493.9160400000001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 00036 profil "U" Decor 18mm 3m ezüst</v>
      </c>
      <c r="C133" s="185">
        <f t="shared" si="5"/>
        <v>2744.3092099999999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alsó görgő WD 10C HI-TEC - 2db</v>
      </c>
      <c r="C134" s="185">
        <f t="shared" si="5"/>
        <v>2624.35581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First felső/alsó vezetés 1,8m oliva</v>
      </c>
      <c r="C135" s="185">
        <f t="shared" si="5"/>
        <v>3375.29988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First felső/alsó sín 1,8m ezüst</v>
      </c>
      <c r="C136" s="185">
        <f t="shared" si="5"/>
        <v>3054.79655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alsó vezetés 2m ezüst</v>
      </c>
      <c r="C137" s="185">
        <f t="shared" si="5"/>
        <v>3000.98659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SEVROLL10203  Comfort felső görgő 18mm - 2db</v>
      </c>
      <c r="C138" s="185">
        <f t="shared" si="5"/>
        <v>2839.63526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Doubler II takaró profil 2,35m oliva</v>
      </c>
      <c r="C139" s="185">
        <f t="shared" si="5"/>
        <v>3034.7650199999998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felső görgő 10mm J+B</v>
      </c>
      <c r="C140" s="185">
        <f t="shared" si="5"/>
        <v>2726.8697200000001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felső vezető profile 1,7m arany</v>
      </c>
      <c r="C141" s="185">
        <f t="shared" si="5"/>
        <v>3705.8187600000001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Blue-C alsó vezetés 2,5m ezüst</v>
      </c>
      <c r="C142" s="185" t="e">
        <f t="shared" si="5"/>
        <v>#N/A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összekötő profil H18 1,8m ezüst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dísz profil S20 3m oliva</v>
      </c>
      <c r="C144" s="185">
        <f t="shared" si="5"/>
        <v>2934.6077500000001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"U" profil rétegelt lemezhez 16mm 3m oliva</v>
      </c>
      <c r="C145" s="185">
        <f t="shared" si="5"/>
        <v>2904.5606699999998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 04355 takaró profil Elegant II 3m fekete szálcsiszolt</v>
      </c>
      <c r="C146" s="185">
        <f t="shared" si="5"/>
        <v>3144.9382599999999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 takaró profil Elegant II 3m oliva szálcsiszolt</v>
      </c>
      <c r="C147" s="185">
        <f t="shared" si="5"/>
        <v>3144.9382599999999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takaró profil Elegant II 3m oliva sötét szálcsiszolt</v>
      </c>
      <c r="C148" s="185">
        <f t="shared" si="5"/>
        <v>3144.9382599999999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fogantyú profil 2,70m oliva</v>
      </c>
      <c r="C149" s="185">
        <f t="shared" si="5"/>
        <v>3685.7872400000001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takaró profil 2,5m ezüst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takaró profil Galaxy 1,5m ezüst</v>
      </c>
      <c r="C151" s="185" t="e">
        <f t="shared" si="5"/>
        <v>#N/A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profil "U" Decor 18mm 3m oliva</v>
      </c>
      <c r="C152" s="185">
        <f t="shared" si="5"/>
        <v>3435.3940899999998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keret profil 2,7m ezüst</v>
      </c>
      <c r="C153" s="185">
        <f t="shared" si="5"/>
        <v>2974.67083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fogantyú profil 2,7m ezüst</v>
      </c>
      <c r="C155" s="185" t="e">
        <f t="shared" si="5"/>
        <v>#N/A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fogantyú profil 2,7m ezüst</v>
      </c>
      <c r="C156" s="185">
        <f t="shared" si="5"/>
        <v>2864.4975899999999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Focus II 18mm fogantyú profil 2,7m arany</v>
      </c>
      <c r="C158" s="185">
        <f t="shared" si="5"/>
        <v>4086.4163100000001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16 - fog.profile ezüst 2,7m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elem Single profil falra rögzítéséhez</v>
      </c>
      <c r="C160" s="185" t="e">
        <f t="shared" si="5"/>
        <v>#N/A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felső vezető profil Simple/Blue 2m (10 mm-es rétegeltlemez) ezüst</v>
      </c>
      <c r="C161" s="185">
        <f t="shared" si="5"/>
        <v>3133.2333600000002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alsó vezetés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 04496  Blue-V alsó vezetés 2m ezüst</v>
      </c>
      <c r="C163" s="185">
        <f t="shared" si="5"/>
        <v>3153.5790999999999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felső görgő 18mm aszimmetrikus - 2db</v>
      </c>
      <c r="C164" s="185">
        <f t="shared" si="5"/>
        <v>2849.8865099999998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betét takaró profilhoz 2,8m</v>
      </c>
      <c r="C165" s="185" t="e">
        <f t="shared" si="5"/>
        <v>#N/A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fogantyú profil 2,7m oliva</v>
      </c>
      <c r="C166" s="185">
        <f t="shared" si="5"/>
        <v>4086.4163100000001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Blue-C alsó vezetés 2,5m oliva</v>
      </c>
      <c r="C167" s="185" t="e">
        <f t="shared" si="5"/>
        <v>#N/A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Optima alsó vezetés 2m nyers</v>
      </c>
      <c r="C168" s="185">
        <f t="shared" si="5"/>
        <v>3205.0324500000002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sín Galaxy B 50kg a falra 1,5m</v>
      </c>
      <c r="C169" s="185">
        <f t="shared" si="5"/>
        <v>3701.89113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 Pax végzáró profilhoz (4 db) ezüst</v>
      </c>
      <c r="C170" s="185">
        <f t="shared" si="5"/>
        <v>2747.3726000000001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 Pax fogantyú ragasztható ezüst</v>
      </c>
      <c r="C171" s="185">
        <f t="shared" si="5"/>
        <v>2373.7272499999999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Pax fogantyú ragasztható transzparens</v>
      </c>
      <c r="C172" s="185" t="e">
        <f t="shared" si="5"/>
        <v>#N/A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Maxim II takaró profil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alsó vezetés 1,7m ezüst</v>
      </c>
      <c r="C174" s="185">
        <f t="shared" si="5"/>
        <v>3114.8907599999998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összekötő profil H08/16 3m ezüst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takaró profil Elegant II 4,05m fényes fehér</v>
      </c>
      <c r="C176" s="185">
        <f t="shared" si="5"/>
        <v>3054.79655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felső görgő 18mm - 2db</v>
      </c>
      <c r="C177" s="185">
        <f t="shared" si="5"/>
        <v>2849.8865099999998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felső görgő 18mm - 2db</v>
      </c>
      <c r="C178" s="185" t="e">
        <f t="shared" si="5"/>
        <v>#N/A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Factor 16 II fogantyú profil 2,7m ezüst</v>
      </c>
      <c r="C179" s="185" t="e">
        <f t="shared" si="5"/>
        <v>#N/A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összekötő profil H18 1,8m oliva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szögletvas K2 3m oliva sötét szálcsiszolt</v>
      </c>
      <c r="C181" s="185">
        <f t="shared" si="5"/>
        <v>3325.2212399999999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keret profil 2,7m ezüst</v>
      </c>
      <c r="C182" s="185">
        <f t="shared" si="5"/>
        <v>3355.2683499999998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összek.profile H08/16 3m oliva</v>
      </c>
      <c r="C183" s="185" t="e">
        <f t="shared" si="5"/>
        <v>#N/A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összekötő profil H08/18 3m oliva</v>
      </c>
      <c r="C184" s="185">
        <f t="shared" si="5"/>
        <v>4146.5108899999996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 04490 Blue-V alsó vezetés 2m oliva</v>
      </c>
      <c r="C185" s="185">
        <f t="shared" si="5"/>
        <v>3947.06023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01373összekötő profil T Decor 3m ezüst</v>
      </c>
      <c r="C186" s="185">
        <f t="shared" si="5"/>
        <v>3585.62997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Blue-C alsó vezetés 3m ezüst</v>
      </c>
      <c r="C187" s="185">
        <f t="shared" si="5"/>
        <v>3926.7144899999998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felső görgő 10mm - 2db</v>
      </c>
      <c r="C188" s="185">
        <f t="shared" si="5"/>
        <v>2993.4061299999998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fogantyú profil 2,7m oliva</v>
      </c>
      <c r="C189" s="185">
        <f t="shared" si="5"/>
        <v>3585.62997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összekötő profil H04/18 3m ezüst</v>
      </c>
      <c r="C190" s="185">
        <f t="shared" si="5"/>
        <v>3285.1581900000001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összekötő profil H08/18 3m ezüst</v>
      </c>
      <c r="C191" s="185">
        <f t="shared" si="5"/>
        <v>3395.3314300000002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takaró profil 3m ezüst</v>
      </c>
      <c r="C192" s="185">
        <f t="shared" si="5"/>
        <v>3174.9853699999999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fogantyú profil 2,7m ezüst</v>
      </c>
      <c r="C193" s="185">
        <f t="shared" si="5"/>
        <v>4006.2905700000001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alsó vezetés 2,5m ezüst</v>
      </c>
      <c r="C194" s="185">
        <f t="shared" si="5"/>
        <v>3723.25776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szögletvas K2 3m fekete szálcsiszolt</v>
      </c>
      <c r="C195" s="185">
        <f t="shared" si="5"/>
        <v>3325.2212399999999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 szögletvas K2 Decor 3m oliva szálcsiszolt</v>
      </c>
      <c r="C196" s="185">
        <f t="shared" ref="C196:C259" si="7">IF($A$2=1,H196,IF($A$2=2,I196,IF($A$2=3,J196,IF($A$2=4,K196,IF($A$2&gt;4,O196,"zadat jazyk")))))</f>
        <v>3325.2212399999999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alsó vezetés 3m ezüst</v>
      </c>
      <c r="C197" s="185">
        <f t="shared" si="7"/>
        <v>3299.2979500000001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Hide N alsó vezetés 2,35m ezüst</v>
      </c>
      <c r="C199" s="185">
        <f t="shared" si="7"/>
        <v>3760.8069999999998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felső vezető profil Simple/Blue 2,5m (10 mm-es rétegeltlemez) ezüst</v>
      </c>
      <c r="C200" s="185" t="e">
        <f t="shared" si="7"/>
        <v>#N/A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alsó takaró profil Simple/Blue 1,5m (10 mm-es rétegeltlemez) ezüst</v>
      </c>
      <c r="C201" s="185">
        <f t="shared" si="7"/>
        <v>3926.7144899999998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Doubler II takaró profil 3m oliva</v>
      </c>
      <c r="C202" s="185">
        <f t="shared" si="7"/>
        <v>3876.0862200000001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Blue-V alsó vezetés 2,5m ezüst</v>
      </c>
      <c r="C203" s="185">
        <f t="shared" si="7"/>
        <v>3947.06023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ütközés csillapító Mini SV-60 (40 - 60kg)</v>
      </c>
      <c r="C204" s="185">
        <f t="shared" si="7"/>
        <v>3772.5116400000002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fogantyú profil 2,7m ezüst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alsó vezetés 3m oliva</v>
      </c>
      <c r="C206" s="185">
        <f t="shared" si="7"/>
        <v>4006.2905000000001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Blue-C alsó vezetés 3m oliva</v>
      </c>
      <c r="C207" s="185" t="e">
        <f t="shared" si="7"/>
        <v>#N/A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takaró profil Elegant II 4,05m oliva sötét szálcsiszolt</v>
      </c>
      <c r="C208" s="185">
        <f t="shared" si="7"/>
        <v>4246.6681500000004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fogantyú profil 10mm 2,5m ezüst</v>
      </c>
      <c r="C209" s="185" t="e">
        <f t="shared" si="7"/>
        <v>#N/A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 ék rétegelt lemezhez vastagság 2mm (100 db)</v>
      </c>
      <c r="C210" s="185">
        <f t="shared" si="7"/>
        <v>3385.3154599999998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dísz profil S18 ragasztóval 3m ezüst</v>
      </c>
      <c r="C211" s="185">
        <f t="shared" si="7"/>
        <v>4426.9511599999996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Optima alsó vezetés 2,4m nyers</v>
      </c>
      <c r="C212" s="185" t="e">
        <f t="shared" si="7"/>
        <v>#N/A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összekötő profil H04/18 3m oliva</v>
      </c>
      <c r="C213" s="185">
        <f t="shared" si="7"/>
        <v>3996.2750099999998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alsó takaró profil Simple/Blue 1,5m (10 mm-es rétegeltlemez)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Pax végzáró profilhoz (4 db) fényes fehér</v>
      </c>
      <c r="C215" s="185">
        <f t="shared" si="7"/>
        <v>3567.4838199999999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alsó görgő WD10 V Duo 60kg</v>
      </c>
      <c r="C216" s="185" t="e">
        <f t="shared" si="7"/>
        <v>#N/A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Factor 16 II fogantyú profil 2,7m oliva</v>
      </c>
      <c r="C217" s="185" t="e">
        <f t="shared" si="7"/>
        <v>#N/A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 fogantyú profil 2,7m arany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felső vezetés 1,5m ezüst</v>
      </c>
      <c r="C219" s="185">
        <f t="shared" si="7"/>
        <v>4753.7065499999999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alsó vezetés 1,7m oliva</v>
      </c>
      <c r="C220" s="185">
        <f t="shared" si="7"/>
        <v>4116.4633899999999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 takaró profil Elegant II 4,05m fekete szálcsiszolt</v>
      </c>
      <c r="C221" s="185">
        <f t="shared" si="7"/>
        <v>4246.6681500000004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takaró profil Elegant II 4,05m oliva szálcsiszolt</v>
      </c>
      <c r="C222" s="185">
        <f t="shared" si="7"/>
        <v>4246.6681500000004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039790 takaró profil Galaxy 2m</v>
      </c>
      <c r="C223" s="185">
        <f t="shared" si="7"/>
        <v>4369.6061300000001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fogantyú ragasztható fehér</v>
      </c>
      <c r="C224" s="185">
        <f t="shared" si="7"/>
        <v>3084.84366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Blue-V alsó vezetés 2,5m oliva</v>
      </c>
      <c r="C226" s="185">
        <f t="shared" si="7"/>
        <v>4923.6526999999996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fogantyú profil 10mm 2,5m ezüst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alsó vezetés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007060 összekötő profil "T" 3m ezüst</v>
      </c>
      <c r="C230" s="185">
        <f t="shared" si="7"/>
        <v>3715.8343500000001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 04548 Factor 18 II fogantyú profil 2,7m oliva</v>
      </c>
      <c r="C231" s="185">
        <f t="shared" si="7"/>
        <v>4867.6428800000003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alsó vezetés 3m ezüst</v>
      </c>
      <c r="C232" s="185">
        <f t="shared" si="7"/>
        <v>4384.4920899999997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takaró profil 3,5m ezüst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szögletvas 18x18mm 3m ezüst</v>
      </c>
      <c r="C234" s="185">
        <f t="shared" si="7"/>
        <v>3745.88184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szögletvas 22x22mm 3m ezüst</v>
      </c>
      <c r="C235" s="185">
        <f t="shared" si="7"/>
        <v>3946.1963700000001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fogantyú profil 18mm 2,70m ezüst</v>
      </c>
      <c r="C236" s="185">
        <f t="shared" si="7"/>
        <v>4659.1587399999999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összekötő profil H18 2,5m ezüst</v>
      </c>
      <c r="C259" s="185" t="e">
        <f t="shared" si="7"/>
        <v>#N/A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 összekötő profil "T" 3m oliva</v>
      </c>
      <c r="C260" s="185">
        <f t="shared" ref="C260:C323" si="9">IF($A$2=1,H260,IF($A$2=2,I260,IF($A$2=3,J260,IF($A$2=4,K260,IF($A$2&gt;4,O260,"zadat jazyk")))))</f>
        <v>4567.1710700000003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összekötő profil T Decor 3m oliva</v>
      </c>
      <c r="C261" s="185">
        <f t="shared" si="9"/>
        <v>4487.0453600000001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dísz profil S18 ragasztóval 3m oliva</v>
      </c>
      <c r="C262" s="185">
        <f t="shared" si="9"/>
        <v>5288.3034799999996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18mm 3m oliva szálcsiszolt</v>
      </c>
      <c r="C263" s="185">
        <f t="shared" si="9"/>
        <v>3295.17416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18mm 3m oliva sötét szálcsiszolt</v>
      </c>
      <c r="C264" s="185">
        <f t="shared" si="9"/>
        <v>3295.17416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felső vezetés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18mm 3m fekete szálcsiszolt</v>
      </c>
      <c r="C268" s="185">
        <f t="shared" si="9"/>
        <v>3295.17416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takaró profil 4,05m ezüst</v>
      </c>
      <c r="C269" s="185">
        <f t="shared" si="9"/>
        <v>4286.7308199999998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Blue felső vezetés 1,5m ezüst</v>
      </c>
      <c r="C270" s="185">
        <f t="shared" si="9"/>
        <v>4425.1835799999999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fogantyú profil 10mm 2,70m ezüst</v>
      </c>
      <c r="C271" s="185">
        <f t="shared" si="9"/>
        <v>5096.5906000000004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alsó vezetés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Gemini II alsó vezetés 1,7m fényes fehér</v>
      </c>
      <c r="C273" s="185" t="e">
        <f t="shared" si="9"/>
        <v>#N/A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Maxim II alsó vezetés 1,8m ezüst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 04498 Blue-V alsó vezetés 3m ezüst</v>
      </c>
      <c r="C275" s="185">
        <f t="shared" si="9"/>
        <v>4730.3686699999998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alsó vezetés 2,35m ezüst</v>
      </c>
      <c r="C276" s="185">
        <f t="shared" si="9"/>
        <v>4306.7623700000004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Blue-C alsó vezetés 4m ezüst</v>
      </c>
      <c r="C277" s="185">
        <f t="shared" si="9"/>
        <v>5259.3562300000003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fogantyú profil 18mm 2,70m ezüst</v>
      </c>
      <c r="C278" s="185">
        <f t="shared" si="9"/>
        <v>4994.8622400000004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First felső/alsó vezetés 3m oliva</v>
      </c>
      <c r="C279" s="185" t="e">
        <f t="shared" si="9"/>
        <v>#N/A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First felső/alsó vezetés 3m ezüst</v>
      </c>
      <c r="C280" s="185">
        <f t="shared" si="9"/>
        <v>5057.9418299999998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szögletvas 18x36mm 3m ezüst</v>
      </c>
      <c r="C282" s="185">
        <f t="shared" si="9"/>
        <v>4136.4949200000001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takaró profil Elegant II 6m fényes fehér</v>
      </c>
      <c r="C283" s="185">
        <f t="shared" si="9"/>
        <v>4527.1084300000002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rögzítő ék Simple 40db (üveg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 összekötő profil Simple/Blue H21 3m (18 mm-es rétegeltlemez) ezüs</v>
      </c>
      <c r="C285" s="185">
        <f t="shared" si="9"/>
        <v>4465.8751000000002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fogantyú profil 2,7m ezüst</v>
      </c>
      <c r="C286" s="185" t="e">
        <f t="shared" si="9"/>
        <v>#N/A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fogantyú Push 90mm csiszolt nikkel</v>
      </c>
      <c r="C287" s="185" t="e">
        <f t="shared" si="9"/>
        <v>#N/A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 04512 Era fogantyú profil 18mm 2,70m ezüst</v>
      </c>
      <c r="C288" s="185">
        <f t="shared" si="9"/>
        <v>4679.5044900000003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Ursus felső vezetés 1,2m nyers</v>
      </c>
      <c r="C289" s="185" t="e">
        <f t="shared" si="9"/>
        <v>#N/A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dísz profil S18 ragasztóval 3m fényes fehér</v>
      </c>
      <c r="C290" s="185">
        <f t="shared" si="9"/>
        <v>5759.0426799999996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Maxim II takaró profil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összekötő profil H08/18 3m matt fehér</v>
      </c>
      <c r="C292" s="185">
        <f t="shared" si="9"/>
        <v>4416.9351999999999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Blue felső vezetés 1,5m oliva</v>
      </c>
      <c r="C293" s="185">
        <f t="shared" si="9"/>
        <v>5534.0228800000004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Exclusive felső vezetés 1,2m ezüst</v>
      </c>
      <c r="C294" s="185" t="e">
        <f t="shared" si="9"/>
        <v>#N/A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alsó takaró profil Simple/Blue 2m (10 mm-es rétegeltlemez) ezüst</v>
      </c>
      <c r="C295" s="185">
        <f t="shared" si="9"/>
        <v>5167.8005300000004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fogantyú profil 18mm 2,70m oliva</v>
      </c>
      <c r="C296" s="185">
        <f t="shared" si="9"/>
        <v>5656.0965699999997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 04530 Alfa II fogantyú profil 18mm 2,70m ezüst</v>
      </c>
      <c r="C297" s="185">
        <f t="shared" si="9"/>
        <v>4867.6428800000003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összekötő profil H18 2,5m oliva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 rögzítő ék Blue 40db (üveg 4mm)</v>
      </c>
      <c r="C299" s="185">
        <f t="shared" si="9"/>
        <v>4838.6564200000003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SEVROLL02581  Hide N alsó vezetés 3m ezüst</v>
      </c>
      <c r="C300" s="185">
        <f t="shared" si="9"/>
        <v>4801.6572299999998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összekötő profil H16 3m ezüst</v>
      </c>
      <c r="C301" s="185">
        <f t="shared" si="9"/>
        <v>4617.2497100000001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fogantyú profil 18mm 2,70m ezüst</v>
      </c>
      <c r="C302" s="185">
        <f t="shared" si="9"/>
        <v>4872.7885500000002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Doubler II takaró profil 4,05m oliva</v>
      </c>
      <c r="C303" s="185">
        <f t="shared" si="9"/>
        <v>5238.2248399999999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Blue-C alsó vezetés 4m oliva</v>
      </c>
      <c r="C304" s="185" t="e">
        <f t="shared" si="9"/>
        <v>#N/A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 04492 Blue-V alsó vezetés 3m oliva</v>
      </c>
      <c r="C305" s="185">
        <f t="shared" si="9"/>
        <v>5910.4174800000001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fogantyú profil 18mm 2,70m oliva</v>
      </c>
      <c r="C306" s="185" t="e">
        <f t="shared" si="9"/>
        <v>#N/A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felső vezetés 1,7m ezüst</v>
      </c>
      <c r="C307" s="185">
        <f t="shared" si="9"/>
        <v>5448.5553399999999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alsó takaró profil Simple/Blue 2m (10 mm-es rétegeltlemez)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alsó vezetés 2,35m arany</v>
      </c>
      <c r="C309" s="185">
        <f t="shared" si="9"/>
        <v>5528.6810599999999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takaró profil 4,3m ezüst</v>
      </c>
      <c r="C310" s="185" t="e">
        <f t="shared" si="9"/>
        <v>#N/A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szögletvas 18x36mm 3m oliva</v>
      </c>
      <c r="C311" s="185">
        <f t="shared" si="9"/>
        <v>5168.1146799999997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Hide N alsó sín 3m oliva</v>
      </c>
      <c r="C312" s="185">
        <f t="shared" si="9"/>
        <v>5626.48153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alsó vezetés 2,35m oliva</v>
      </c>
      <c r="C313" s="185">
        <f t="shared" si="9"/>
        <v>5528.6810599999999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 Era fogantyú profil 18mm 2,70m oliva</v>
      </c>
      <c r="C314" s="185">
        <f t="shared" si="9"/>
        <v>5849.3806000000004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Optima 16 fogantyú profil 2,4m ezüst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Optima 18 fogantyú profil 2,4m ezüst</v>
      </c>
      <c r="C316" s="185">
        <f t="shared" si="9"/>
        <v>5238.2248399999999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ütközés csillapító 10/18mm 14-25kg balos</v>
      </c>
      <c r="C317" s="185">
        <f t="shared" si="9"/>
        <v>5064.1871000000001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ütközés csillapító 10/18mm 14-25kg jobbos</v>
      </c>
      <c r="C318" s="185">
        <f t="shared" si="9"/>
        <v>5064.1871000000001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ütközés csillapító 10/18mm 25-50kg balos</v>
      </c>
      <c r="C319" s="185">
        <f t="shared" si="9"/>
        <v>5064.1871000000001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ütközés csillapító 10/18mm 25-50kg jobbos</v>
      </c>
      <c r="C320" s="185">
        <f t="shared" si="9"/>
        <v>5064.1871000000001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felső vezetés 2m ezüst</v>
      </c>
      <c r="C321" s="185">
        <f t="shared" si="9"/>
        <v>5595.0597200000002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felső vezetés 1,2m oliva</v>
      </c>
      <c r="C322" s="185" t="e">
        <f t="shared" si="9"/>
        <v>#N/A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alsó vezetés 1,7m oliva</v>
      </c>
      <c r="C324" s="185">
        <f t="shared" ref="C324:C387" si="11">IF($A$2=1,H324,IF($A$2=2,I324,IF($A$2=3,J324,IF($A$2=4,K324,IF($A$2&gt;4,O324,"zadat jazyk")))))</f>
        <v>6520.2377500000002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Comfort alsó vezetés 1,7m ezüst</v>
      </c>
      <c r="C325" s="185" t="e">
        <f t="shared" si="11"/>
        <v>#N/A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fogantyú profil 18mm 2,70m oliva</v>
      </c>
      <c r="C326" s="185">
        <f t="shared" si="11"/>
        <v>6129.62464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összekötő profil H25 1,8m ezüst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összekötő profile H16 3m oliva</v>
      </c>
      <c r="C328" s="185" t="e">
        <f t="shared" si="11"/>
        <v>#N/A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összekötő profil H10 3m arany</v>
      </c>
      <c r="C329" s="185">
        <f t="shared" si="11"/>
        <v>5859.1999500000002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Prince 02 fogantyú profil 2,7m ezüst</v>
      </c>
      <c r="C330" s="185" t="e">
        <f t="shared" si="11"/>
        <v>#N/A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alsó vezetés 2,35m oliva</v>
      </c>
      <c r="C331" s="185">
        <f t="shared" si="11"/>
        <v>5698.9484899999998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alsó vezetés 4m ezüst</v>
      </c>
      <c r="C332" s="185">
        <f t="shared" si="11"/>
        <v>5869.7263800000001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fog.profil 18mm 2,70m arany</v>
      </c>
      <c r="C333" s="185" t="e">
        <f t="shared" si="11"/>
        <v>#N/A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takaró profil Elegant II 6m fekete szálcsiszolt</v>
      </c>
      <c r="C334" s="185">
        <f t="shared" si="11"/>
        <v>6289.8761000000004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takaró profil Elegant II 6m oliva szálcsiszolt</v>
      </c>
      <c r="C335" s="185">
        <f t="shared" si="11"/>
        <v>6289.8761000000004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takaró profil Elegant II 6m oliva sötét szálcsiszolt</v>
      </c>
      <c r="C336" s="185" t="e">
        <f t="shared" si="11"/>
        <v>#N/A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takaró profil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összekötő profil H10 3m oliva</v>
      </c>
      <c r="C338" s="185">
        <f t="shared" si="11"/>
        <v>5859.1999500000002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összekötő profil H10 3m ezüst</v>
      </c>
      <c r="C339" s="185">
        <f t="shared" si="11"/>
        <v>4687.3598899999997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összekötő profil H10 3m ezüst</v>
      </c>
      <c r="C340" s="185">
        <f t="shared" si="11"/>
        <v>4687.3598899999997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Doubler II alsó vezetés 1,7m ezüst</v>
      </c>
      <c r="C341" s="185">
        <f t="shared" si="11"/>
        <v>5568.7437300000001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 02290 "U" profil rétegelt lemezhez 36mm ezüst 3m</v>
      </c>
      <c r="C342" s="185">
        <f t="shared" si="11"/>
        <v>5198.1621699999996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Idea felső/alsó vezetés 2m ezüst</v>
      </c>
      <c r="C343" s="185" t="e">
        <f t="shared" si="11"/>
        <v>#N/A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felső vezetés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Gemini felső vezetés 1,7m arany</v>
      </c>
      <c r="C345" s="185">
        <f t="shared" si="11"/>
        <v>6810.6939700000003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alsó vezetés 3m ezüst</v>
      </c>
      <c r="C346" s="185">
        <f t="shared" si="11"/>
        <v>5498.6339500000004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SEVROLL02021 Maxim vezető profil 1,8m ezüst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Doubler II alsó vezetés 1,7m oliva</v>
      </c>
      <c r="C348" s="185">
        <f t="shared" si="11"/>
        <v>6960.9298699999999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takaró profil Galaxy 3m</v>
      </c>
      <c r="C349" s="185">
        <f t="shared" si="11"/>
        <v>6549.4996000000001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felső vezetés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 04382 Fox II fogantyú profil 2,7m ezüst</v>
      </c>
      <c r="C351" s="185">
        <f t="shared" si="11"/>
        <v>6460.1435300000003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 04472  Blue felső vezetés 2m ezüst</v>
      </c>
      <c r="C352" s="185">
        <f t="shared" si="11"/>
        <v>5900.2447899999997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alsó vezetés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 Blue-V alsó vezetés 4m ezüst</v>
      </c>
      <c r="C354" s="185">
        <f t="shared" si="11"/>
        <v>6307.1582399999998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felső vezetés 1,7m oliva</v>
      </c>
      <c r="C355" s="185">
        <f t="shared" si="11"/>
        <v>6810.6939700000003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összekötő profil H10 Decor 3m oliva</v>
      </c>
      <c r="C356" s="185">
        <f t="shared" si="11"/>
        <v>6460.1435300000003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szögletvas 36x36mm 3m ezüst</v>
      </c>
      <c r="C357" s="185">
        <f t="shared" si="11"/>
        <v>5478.6024299999999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zár tolóajtóra 18 mm (azonos kulcs)</v>
      </c>
      <c r="C358" s="185" t="e">
        <f t="shared" si="11"/>
        <v>#N/A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összekötő profil H25 1,8m oliva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"U" profil rétegelt lemezhez 36mm 3m oliva</v>
      </c>
      <c r="C360" s="185">
        <f t="shared" si="11"/>
        <v>6500.2066100000002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Gemini II alsó vezetés 2,35m fényes fehér</v>
      </c>
      <c r="C363" s="185" t="e">
        <f t="shared" si="11"/>
        <v>#N/A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  01255 Single felső vezetés 1,7m ezüst</v>
      </c>
      <c r="C364" s="185">
        <f t="shared" si="11"/>
        <v>5646.1202800000001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fogantyú profil 2,7m ezüst</v>
      </c>
      <c r="C365" s="185">
        <f t="shared" si="11"/>
        <v>6370.0018499999996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fogantyú profil 2,7m ezüst</v>
      </c>
      <c r="C366" s="185">
        <f t="shared" si="11"/>
        <v>5548.7125900000001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fogantyú profil 2,7m arany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alsó takaró profil Simple/Blue 2,5m (10 mm-es rétegeltlemez) ezüst</v>
      </c>
      <c r="C368" s="185">
        <f t="shared" si="11"/>
        <v>6408.8865999999998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fogantyú profil 2,7m ezüst</v>
      </c>
      <c r="C369" s="185" t="e">
        <f t="shared" si="11"/>
        <v>#N/A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alsó vezetés 3m arany</v>
      </c>
      <c r="C370" s="185">
        <f t="shared" si="11"/>
        <v>0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felső vezetés 2,5m ezüst</v>
      </c>
      <c r="C372" s="185">
        <f t="shared" si="11"/>
        <v>6998.9109799999997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 04377 Fox II fogantyú profil 2,7m oliva</v>
      </c>
      <c r="C373" s="185">
        <f t="shared" si="11"/>
        <v>8002.5655800000004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II fogantyú profil 2,7m arany</v>
      </c>
      <c r="C374" s="185">
        <f t="shared" si="11"/>
        <v>8002.5655800000004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alsó vezetés 3m oliva</v>
      </c>
      <c r="C375" s="185">
        <f t="shared" si="11"/>
        <v>7061.0871100000004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02806 Maxim II alsó vezető profil 2,5m ezüst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Single felső vezetés 1,7m oliva</v>
      </c>
      <c r="C377" s="185">
        <f t="shared" si="11"/>
        <v>6883.3569299999999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 04466 Blue felső vezetés 2m oliva</v>
      </c>
      <c r="C378" s="185">
        <f t="shared" si="11"/>
        <v>7375.3059899999998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Doubler II takaró profil 6m ezüst</v>
      </c>
      <c r="C379" s="185">
        <f t="shared" si="11"/>
        <v>6370.0018499999996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fogantyú profil 18mm 2,7m ezüst</v>
      </c>
      <c r="C380" s="185">
        <f t="shared" si="11"/>
        <v>6349.9706999999999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 Blue-V alsó vezetés 4m oliva</v>
      </c>
      <c r="C381" s="185">
        <f t="shared" si="11"/>
        <v>7883.9477800000004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fogantyú profil 2,7m matt fehér</v>
      </c>
      <c r="C382" s="185">
        <f t="shared" si="11"/>
        <v>6299.8920699999999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Minicomfort II fogantyú profil 2,7m oliva</v>
      </c>
      <c r="C383" s="185" t="e">
        <f t="shared" si="11"/>
        <v>#N/A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 Julia II fogantyú profil 2,7m ezüst</v>
      </c>
      <c r="C384" s="185">
        <f t="shared" si="11"/>
        <v>6710.5366999999997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fogantyú profil 2,7m ezüst</v>
      </c>
      <c r="C385" s="185">
        <f t="shared" si="11"/>
        <v>6710.5366999999997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fogantyú profil 2,7m oliva</v>
      </c>
      <c r="C386" s="185">
        <f t="shared" si="11"/>
        <v>6490.1906399999998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szögletvas 36x36mm 3m oliva</v>
      </c>
      <c r="C387" s="185" t="e">
        <f t="shared" si="11"/>
        <v>#N/A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tolóajtó zár 10/18mm</v>
      </c>
      <c r="C388" s="185">
        <f t="shared" ref="C388:C451" si="13">IF($A$2=1,H388,IF($A$2=2,I388,IF($A$2=3,J388,IF($A$2=4,K388,IF($A$2&gt;4,O388,"zadat jazyk")))))</f>
        <v>6243.0970299999999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Maxim II takaró profil 6m ezüst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 04535 Universal 18 fogantyú profil 2,7m ezüst</v>
      </c>
      <c r="C390" s="185">
        <f t="shared" si="13"/>
        <v>6470.1591200000003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Blue-C alsó vezetés 6m ezüst</v>
      </c>
      <c r="C391" s="185" t="e">
        <f t="shared" si="13"/>
        <v>#N/A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felső vezetés 2,35m ezüst</v>
      </c>
      <c r="C392" s="185">
        <f t="shared" si="13"/>
        <v>7521.8103799999999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Victoria II fog.prof.18mm 2,7m arany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alsó vezetés 3m oliva</v>
      </c>
      <c r="C394" s="185">
        <f t="shared" si="13"/>
        <v>7271.4172099999996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fogantyú profil 2,7m fényes fehér</v>
      </c>
      <c r="C395" s="185">
        <f t="shared" si="13"/>
        <v>6299.8920699999999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fogantyú profil 2,7m arany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fogantyú profil 2,7m arany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Ursus felső vezetés 1,8m nyers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Blue felső vezetés 2,5m ezüst</v>
      </c>
      <c r="C399" s="185">
        <f t="shared" si="13"/>
        <v>7375.3059899999998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Hide M alsó vezetés 6m ezüst</v>
      </c>
      <c r="C401" s="185">
        <f t="shared" si="13"/>
        <v>6618.2350800000004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alsó vezetés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 04532 Alfa II profil 18mm 2,7m fényes fehér</v>
      </c>
      <c r="C403" s="185">
        <f t="shared" si="13"/>
        <v>6329.9391800000003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alsó vezetés 2m alu nyers</v>
      </c>
      <c r="C404" s="185" t="e">
        <f t="shared" si="13"/>
        <v>#N/A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fogantyú profil 18mm 2,7m oliva</v>
      </c>
      <c r="C405" s="185">
        <f t="shared" si="13"/>
        <v>7942.4709800000001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Doubler II takaró profil 6m oliva</v>
      </c>
      <c r="C406" s="185">
        <f t="shared" si="13"/>
        <v>7752.1724100000001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fogantyú profil 2,7m oliva</v>
      </c>
      <c r="C407" s="185">
        <f t="shared" si="13"/>
        <v>8383.1630999999998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fogantyú profil 2,7m oliva</v>
      </c>
      <c r="C408" s="185">
        <f t="shared" si="13"/>
        <v>8583.4776099999999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alsó takaró profil Simple/Blue 2,5m (10 mm-es rétegeltlemez)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 Universal 18 fogantyú profil 2,7m oliva</v>
      </c>
      <c r="C410" s="185">
        <f t="shared" si="13"/>
        <v>8092.7068799999997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felső vezetés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felső vezetés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Blue-C alsó vezetés 6m oliva</v>
      </c>
      <c r="C413" s="185" t="e">
        <f t="shared" si="13"/>
        <v>#N/A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Gemini-2 fogantyú profil 2,7m arany</v>
      </c>
      <c r="C414" s="185" t="e">
        <f t="shared" si="13"/>
        <v>#N/A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fogantyú profil 2,7m arany</v>
      </c>
      <c r="C415" s="185">
        <f t="shared" si="13"/>
        <v>9054.2168399999991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összekötő profil H10 3m oliva sötét szálcsiszolt</v>
      </c>
      <c r="C416" s="185" t="e">
        <f t="shared" si="13"/>
        <v>#N/A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alsó takaró profil 2,35m 10mm arany</v>
      </c>
      <c r="C417" s="185">
        <f t="shared" si="13"/>
        <v>9514.9400999999998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fogantyú profil 2,7m ezüst</v>
      </c>
      <c r="C418" s="185" t="e">
        <f t="shared" si="13"/>
        <v>#N/A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alsó vezető profil 2,35m ezüst</v>
      </c>
      <c r="C419" s="185">
        <f t="shared" si="13"/>
        <v>7712.1093300000002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Blue felső vezetés 2,5m oliva</v>
      </c>
      <c r="C420" s="185">
        <f t="shared" si="13"/>
        <v>9216.5891300000003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felső vezetés 3m ezüst</v>
      </c>
      <c r="C421" s="185">
        <f t="shared" si="13"/>
        <v>8392.5895899999996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01884 Maxim összekötő profil H25 2,5m ezüst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alsó vezetés 4,05m ezüst</v>
      </c>
      <c r="C423" s="185">
        <f t="shared" si="13"/>
        <v>7421.6531100000002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SEVROLL04050  összekötő profil H10 3m fényes fehér</v>
      </c>
      <c r="C424" s="185">
        <f t="shared" si="13"/>
        <v>6089.5615900000003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alsó takaró profil 1,7m 10mm oliva sötét szálcsiszolt</v>
      </c>
      <c r="C425" s="185">
        <f t="shared" si="13"/>
        <v>8573.4616399999995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felső vezetés 1,8m oliva</v>
      </c>
      <c r="C426" s="185">
        <f t="shared" si="13"/>
        <v>8945.4182500000006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 02283 Gemini-2 fogantyú profil 2,7m oliva</v>
      </c>
      <c r="C427" s="185">
        <f t="shared" si="13"/>
        <v>9094.2795100000003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fogantyú profil 2,7m oliva</v>
      </c>
      <c r="C428" s="185">
        <f t="shared" si="13"/>
        <v>9054.2168399999991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Gemini II alsó vezetés 3m fényes fehér</v>
      </c>
      <c r="C429" s="185">
        <f t="shared" si="13"/>
        <v>7151.2288200000003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 összekötő profil H10 3m fekete szálcsiszolt</v>
      </c>
      <c r="C430" s="185">
        <f t="shared" si="13"/>
        <v>8323.0684999999994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összekötő profil H10 3m oliva szálcsiszolt</v>
      </c>
      <c r="C431" s="185">
        <f t="shared" si="13"/>
        <v>8323.0684999999994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felső vezetés 1,8m ezüst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vasalat szett belső ajtóra 50kg</v>
      </c>
      <c r="C433" s="185" t="e">
        <f t="shared" si="13"/>
        <v>#N/A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összekötő profil Simple/Blue H28 3m (18 mm-es rétegeltlemez) ezüst</v>
      </c>
      <c r="C434" s="185">
        <f t="shared" si="13"/>
        <v>7751.701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Doubler II alsó vezetés 2,35m oliva</v>
      </c>
      <c r="C435" s="185">
        <f t="shared" si="13"/>
        <v>9645.1444499999998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alsó vezetés 6m ezüst</v>
      </c>
      <c r="C436" s="185">
        <f t="shared" si="13"/>
        <v>8830.0214500000002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felső vezetés 2,35m oliva</v>
      </c>
      <c r="C438" s="185">
        <f t="shared" si="13"/>
        <v>9414.7828399999999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Gemini felső vezetés 2,35m arany</v>
      </c>
      <c r="C439" s="185">
        <f t="shared" si="13"/>
        <v>9414.7828399999999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2,7m oliva sötét szálcsiszolt</v>
      </c>
      <c r="C440" s="185">
        <f t="shared" si="13"/>
        <v>9234.4998200000009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alsó takaró profil 1,8m 18mm ezüst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Idea felső/alsó vezetés 3m ezüst</v>
      </c>
      <c r="C442" s="185" t="e">
        <f t="shared" si="13"/>
        <v>#N/A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összekötő profil H25 2,5m oliva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02022 Maxim vezető profil 2,5m ezüst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felső vezetés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Comfort 16 II fogantyú profil 2,7m ezüst</v>
      </c>
      <c r="C447" s="185" t="e">
        <f t="shared" si="13"/>
        <v>#N/A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Elegant II alsó vezetés 4,05m arany</v>
      </c>
      <c r="C448" s="185" t="e">
        <f t="shared" si="13"/>
        <v>#N/A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 01256  Single felső vezetés 2,35m ezüst</v>
      </c>
      <c r="C450" s="185">
        <f t="shared" si="13"/>
        <v>7796.5558300000002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ütközés csillapító Mini SV25 (14-25kg)</v>
      </c>
      <c r="C452" s="185">
        <f t="shared" ref="C452:C515" si="15">IF($A$2=1,H452,IF($A$2=2,I452,IF($A$2=3,J452,IF($A$2=4,K452,IF($A$2&gt;4,O452,"zadat jazyk")))))</f>
        <v>9041.7265599999992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ütközés csillapító  Mini SV40 (25 - 40kg)</v>
      </c>
      <c r="C453" s="185">
        <f t="shared" si="15"/>
        <v>9041.7265599999992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ütközés csillapító Mini SV60 (40 - 60kg)</v>
      </c>
      <c r="C454" s="185">
        <f t="shared" si="15"/>
        <v>9041.7265599999992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 01026 Gemini felső sín 3m, ezüst</v>
      </c>
      <c r="C455" s="185">
        <f t="shared" si="15"/>
        <v>9605.0817900000002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felső vezetés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alsó vezetés 4,05m oliva</v>
      </c>
      <c r="C457" s="185">
        <f t="shared" si="15"/>
        <v>9534.97163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 04474 Blue felső vezetés 3m ezüst</v>
      </c>
      <c r="C458" s="185">
        <f t="shared" si="15"/>
        <v>8850.3671900000008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 Victoria II 2,7m fekete szálcsiszolt</v>
      </c>
      <c r="C459" s="185">
        <f t="shared" si="15"/>
        <v>9234.4998200000009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fogantyú profil 2,7m oliva szálcsiszolt</v>
      </c>
      <c r="C460" s="185">
        <f t="shared" si="15"/>
        <v>9234.4998200000009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fogantyú profil 2,7m ezüst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alsó vezetés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Single felső vezetés 2,35m oliva</v>
      </c>
      <c r="C464" s="185">
        <f t="shared" si="15"/>
        <v>9505.12068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fogantyú profil 2,7m ezüst</v>
      </c>
      <c r="C465" s="185">
        <f t="shared" si="15"/>
        <v>9144.3581400000003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 összekötő profil H30 3m ezüst</v>
      </c>
      <c r="C466" s="185">
        <f t="shared" si="15"/>
        <v>8663.6033499999994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SEVROLL10089  Everest görgő ferde ajtószárnyra - 2db</v>
      </c>
      <c r="C467" s="185">
        <f t="shared" si="15"/>
        <v>7955.0789299999997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 04500 Blue-V alsó vezetés 6m ezüst</v>
      </c>
      <c r="C468" s="185">
        <f t="shared" si="15"/>
        <v>9460.7373399999997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fogantyú profil 2,7m ezüst</v>
      </c>
      <c r="C470" s="185">
        <f t="shared" si="15"/>
        <v>8493.3359199999995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02808 Maxim II alsó vezető profil 3,5m ezüst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 Lux III fogantyú profil 2,7m ezüst</v>
      </c>
      <c r="C472" s="185">
        <f t="shared" si="15"/>
        <v>9524.9556599999996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alsó vezetés 3m oliva</v>
      </c>
      <c r="C473" s="185" t="e">
        <f t="shared" si="15"/>
        <v>#N/A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alsó vezetés 4,05m oliva</v>
      </c>
      <c r="C474" s="185">
        <f t="shared" si="15"/>
        <v>9815.4118799999997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ütközés csillapító Simple/Blue 10/18 25kg J+B</v>
      </c>
      <c r="C475" s="185">
        <f t="shared" si="15"/>
        <v>9728.5697999999993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ütközés csillapító Simple/Blue 10/18, 25 - 40kg , J+B</v>
      </c>
      <c r="C476" s="185">
        <f t="shared" si="15"/>
        <v>9728.5697999999993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vezető profil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Fox II fogantyú profil 2,7m oliva sötét szálcsiszolt</v>
      </c>
      <c r="C478" s="185">
        <f t="shared" si="15"/>
        <v>9685.2075299999997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alsó vezetés 6m nyers</v>
      </c>
      <c r="C479" s="185" t="e">
        <f t="shared" si="15"/>
        <v>#N/A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fogantyú profil 2,7m ezüst</v>
      </c>
      <c r="C480" s="185">
        <f t="shared" si="15"/>
        <v>7962.5024999999996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SEVROLL03145  Prosper II fogantyú profil 2,7m ezüst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04044Rex fogantyú profil 2,7m ezüst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Blue-V alsó vezetés 6m oliva</v>
      </c>
      <c r="C483" s="185">
        <f t="shared" si="15"/>
        <v>11831.00801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Comfort 16 II fogantyú profil 2,7m oliva</v>
      </c>
      <c r="C484" s="185" t="e">
        <f t="shared" si="15"/>
        <v>#N/A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Comfort 18 II fogantyú profil 2,7m oliva</v>
      </c>
      <c r="C485" s="185">
        <f t="shared" si="15"/>
        <v>11718.3999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Karat fogantyú profil 2,7m oliva</v>
      </c>
      <c r="C486" s="185">
        <f t="shared" si="15"/>
        <v>10616.67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felső vezetés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alsó vezetés 6m ezüst</v>
      </c>
      <c r="C488" s="185">
        <f t="shared" si="15"/>
        <v>9603.3140800000001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 04468 Blue felső vezetés 3m oliva</v>
      </c>
      <c r="C489" s="185">
        <f t="shared" si="15"/>
        <v>11068.045319999999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fogantyú profil 2,7m ezüst</v>
      </c>
      <c r="C490" s="185">
        <f t="shared" si="15"/>
        <v>10175.97788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Optima felső vezetés 2m ezüst</v>
      </c>
      <c r="C491" s="185">
        <f t="shared" si="15"/>
        <v>9454.8458900000005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ütközés csillapító 10/18mm 14-25kg J+B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ütközés csillapító 10/18mm 25-50kg J+B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alsó vezető profil 3m ezüst</v>
      </c>
      <c r="C494" s="185">
        <f t="shared" si="15"/>
        <v>9845.4589899999992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összekötő profil H30 3m oliva</v>
      </c>
      <c r="C495" s="185">
        <f t="shared" si="15"/>
        <v>10566.59137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fogantyú profil 3m ezüst</v>
      </c>
      <c r="C496" s="185">
        <f t="shared" si="15"/>
        <v>8853.9022999999997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fogantyú profil 2,7m oliva</v>
      </c>
      <c r="C497" s="185" t="e">
        <f t="shared" si="15"/>
        <v>#N/A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Unicomfort II fogantyú profil 2,7m oliva</v>
      </c>
      <c r="C498" s="185">
        <f t="shared" si="15"/>
        <v>11778.494119999999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felső vezetés 4m ezüst</v>
      </c>
      <c r="C499" s="185">
        <f t="shared" si="15"/>
        <v>11190.119420000001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felső vezető profil 3m ezüst</v>
      </c>
      <c r="C500" s="185">
        <f t="shared" si="15"/>
        <v>8693.6504600000007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fogantyú profil 2,7m ezüst</v>
      </c>
      <c r="C501" s="185">
        <f t="shared" si="15"/>
        <v>9705.2390599999999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Doubler II alsó vezetés 3m oliva</v>
      </c>
      <c r="C502" s="185">
        <f t="shared" si="15"/>
        <v>12309.32792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fogantyú profil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fogantyú profil 2,7m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fogantyú profil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alsó vezetés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felső vezetés 3m oliva</v>
      </c>
      <c r="C507" s="185">
        <f t="shared" si="15"/>
        <v>12018.8717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Gemini felső vezetés 3m arany</v>
      </c>
      <c r="C508" s="185">
        <f t="shared" si="15"/>
        <v>12018.8717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vezető profil 3m ezüst</v>
      </c>
      <c r="C509" s="185">
        <f t="shared" si="15"/>
        <v>9855.4749599999996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alsó vezetés 6m oliva</v>
      </c>
      <c r="C510" s="185">
        <f t="shared" si="15"/>
        <v>11252.96305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vezető profil 3m oliva</v>
      </c>
      <c r="C511" s="185" t="e">
        <f t="shared" si="15"/>
        <v>#N/A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Gemini II alsó vezetés 4,05m fényes fehér</v>
      </c>
      <c r="C512" s="185" t="e">
        <f t="shared" si="15"/>
        <v>#N/A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fogantyú profil 2,7m ezüst</v>
      </c>
      <c r="C513" s="185" t="e">
        <f t="shared" si="15"/>
        <v>#N/A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 01257  Single felső vezetés 3m ezüst</v>
      </c>
      <c r="C514" s="185">
        <f t="shared" si="15"/>
        <v>9966.6297300000006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Symetric vasalat szett 2 ajtószárnyra</v>
      </c>
      <c r="C515" s="185" t="e">
        <f t="shared" si="15"/>
        <v>#N/A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vasalat szett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Herkules-szinkr.mechan. 2x50kg-ra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összekötő profil H30 3m fényes fehér</v>
      </c>
      <c r="C518" s="185" t="e">
        <f t="shared" si="17"/>
        <v>#N/A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takaró profil Galaxy 6m</v>
      </c>
      <c r="C519" s="185">
        <f t="shared" si="17"/>
        <v>13138.27635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02802 Maxim II alsó vezető profil 4,3m ezüst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Pax fogantyú profil 2,7m fényes fehér</v>
      </c>
      <c r="C522" s="185">
        <f t="shared" si="17"/>
        <v>10356.261270000001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fogantyú profil 2,7m oliva</v>
      </c>
      <c r="C523" s="185">
        <f t="shared" si="17"/>
        <v>12129.044529999999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felső vezetés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Comfort felső vezetés 1,7m ezüst</v>
      </c>
      <c r="C525" s="185">
        <f t="shared" si="17"/>
        <v>11578.17958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alsó vezetés 6m ezüst</v>
      </c>
      <c r="C526" s="185">
        <f t="shared" si="17"/>
        <v>11007.28349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Single felső vezetés 3m oliva</v>
      </c>
      <c r="C527" s="185">
        <f t="shared" si="17"/>
        <v>12136.70363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 02024 Maxim felső vezetés 2,5m ezüst</v>
      </c>
      <c r="C529" s="185">
        <f t="shared" si="17"/>
        <v>11307.755289999999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Herkules 2 felső vezetés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Ursus felső vezetés 3m nyers</v>
      </c>
      <c r="C531" s="185" t="e">
        <f t="shared" si="17"/>
        <v>#N/A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 04475 Blue felső vezetés 4m ezüst</v>
      </c>
      <c r="C532" s="185">
        <f t="shared" si="17"/>
        <v>11800.489600000001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Optima felső vezetés 2,4m ezüst</v>
      </c>
      <c r="C533" s="185">
        <f t="shared" si="17"/>
        <v>11337.802379999999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Future II fogantyú profil 2,7m oliva</v>
      </c>
      <c r="C534" s="185">
        <f t="shared" si="17"/>
        <v>14552.850409999999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felső vezetés 4,05m ezüst</v>
      </c>
      <c r="C535" s="185">
        <f t="shared" si="17"/>
        <v>12960.35014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felső vezetés 3m ezüst</v>
      </c>
      <c r="C536" s="185">
        <f t="shared" si="17"/>
        <v>12283.993700000001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 04318  Pax merevítő 3m ezüst</v>
      </c>
      <c r="C537" s="185">
        <f t="shared" si="17"/>
        <v>11147.503419999999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felső vezetés 1,7m oliva</v>
      </c>
      <c r="C538" s="185">
        <f t="shared" si="17"/>
        <v>14452.693139999999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fogantyú profil 2,7m oliva</v>
      </c>
      <c r="C539" s="185" t="e">
        <f t="shared" si="17"/>
        <v>#N/A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02301 Maxim vezető profil 3,5m ezüst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 02379 Master fogantyú profil 3m ezüst</v>
      </c>
      <c r="C541" s="185">
        <f t="shared" si="17"/>
        <v>10786.93743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tolóajtó zár Karat és Prosper fogantyú profilhoz</v>
      </c>
      <c r="C542" s="185">
        <f t="shared" si="17"/>
        <v>14382.7009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födém tartó ferde mennyezetnél</v>
      </c>
      <c r="C543" s="185" t="e">
        <f t="shared" si="17"/>
        <v>#N/A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Optima II vasalat szett (két ajtó)</v>
      </c>
      <c r="C544" s="185">
        <f t="shared" si="17"/>
        <v>10236.072480000001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Pax felső vezető profil 3m fényes fehér</v>
      </c>
      <c r="C545" s="185">
        <f t="shared" si="17"/>
        <v>11297.73933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02809 Maxim alsó takaró profil 2,5m 18mm ezüst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alsó vezetés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SEVROLL03048  Future II fogantyú profil 2,7m ezüst</v>
      </c>
      <c r="C548" s="185">
        <f t="shared" si="17"/>
        <v>12499.626490000001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Elegant II alsó vezetés 6m arany</v>
      </c>
      <c r="C549" s="185">
        <f t="shared" si="17"/>
        <v>14122.17425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Pax fogantyú profil 3m fényes fehér</v>
      </c>
      <c r="C550" s="185">
        <f t="shared" si="17"/>
        <v>11508.069799999999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alsó vezetés 4,05m ezüst</v>
      </c>
      <c r="C551" s="185" t="e">
        <f t="shared" si="17"/>
        <v>#N/A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fogantyú profil 3m oliva</v>
      </c>
      <c r="C552" s="185">
        <f t="shared" si="17"/>
        <v>13481.167589999999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vasalat szett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alsó vezető profil 4,05m ezüst</v>
      </c>
      <c r="C554" s="185">
        <f t="shared" si="17"/>
        <v>13280.853059999999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felső vezetés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vasalat szett 2 ajtóra 1,8m ezüst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takaró profil Herkules Glass 2m ezüst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felső vezetés 4m oliva</v>
      </c>
      <c r="C558" s="185">
        <f t="shared" si="17"/>
        <v>14750.61198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04278Elegant II alsó vezetés 6m oliva</v>
      </c>
      <c r="C559" s="185">
        <f t="shared" si="17"/>
        <v>14122.17425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Exclusive felső vezetés 3m oliva</v>
      </c>
      <c r="C560" s="185">
        <f t="shared" si="17"/>
        <v>14905.75748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Top felső vezetés egyszerű 3m ezüst</v>
      </c>
      <c r="C561" s="185">
        <f t="shared" si="17"/>
        <v>12850.1769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alsó takaró profil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vezető profil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alsó vezetés 6m oliva</v>
      </c>
      <c r="C566" s="185">
        <f t="shared" si="17"/>
        <v>14542.83482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alsó takaró profil 3m 10mm oliva sötét szálcsiszolt</v>
      </c>
      <c r="C567" s="185">
        <f t="shared" si="17"/>
        <v>15163.809960000001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Herkules plus felső vezetés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Doubler II alsó vezetés 4,05m oliva</v>
      </c>
      <c r="C569" s="185">
        <f t="shared" si="17"/>
        <v>16606.074329999999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alsó vezetés 4,05m arany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Ursus felső vezetés 3,6m nyers</v>
      </c>
      <c r="C571" s="185" t="e">
        <f t="shared" si="17"/>
        <v>#N/A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Pax alsó takaró profil 3m 4mm fényes fehér</v>
      </c>
      <c r="C572" s="185">
        <f t="shared" si="17"/>
        <v>13020.44433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felső vezetés 3,6m ezüst</v>
      </c>
      <c r="C573" s="185" t="e">
        <f t="shared" si="17"/>
        <v>#N/A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felső vezetés 4,05m oliva</v>
      </c>
      <c r="C574" s="185">
        <f t="shared" si="17"/>
        <v>16225.4768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Gemini felső vezetés 4,05m arany</v>
      </c>
      <c r="C575" s="185">
        <f t="shared" si="17"/>
        <v>16225.4768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felső vezetés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Herkules 2 felső vezetés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Elegant II alsó vezetés 6m fényes fehér</v>
      </c>
      <c r="C578" s="185">
        <f t="shared" si="17"/>
        <v>14592.91346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Top felső vezetés egyszerű 3m oliva</v>
      </c>
      <c r="C579" s="185">
        <f t="shared" si="17"/>
        <v>15624.533219999999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02305  Maxim vezető profil 4,3m ezüst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vasalat szett ZPE-10 II</v>
      </c>
      <c r="C582" s="185">
        <f t="shared" si="19"/>
        <v>14994.13168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Maxim II alsó vezetés 6m ezüst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Future II fogantyú profil 3,5m oliva</v>
      </c>
      <c r="C585" s="185">
        <f t="shared" si="19"/>
        <v>18859.61275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felső vezetés 6m ezüst</v>
      </c>
      <c r="C586" s="185">
        <f t="shared" si="19"/>
        <v>16785.17915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Ursus vasalat szett ZP-18 1 ajtószárnyra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vasalat szett ZPE-18</v>
      </c>
      <c r="C588" s="185">
        <f t="shared" si="19"/>
        <v>14837.02203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felső vezető profil2,35m ezüst</v>
      </c>
      <c r="C589" s="185">
        <f t="shared" si="19"/>
        <v>15995.115159999999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Gemini II alsó vezetés 6m fényes fehér</v>
      </c>
      <c r="C591" s="185">
        <f t="shared" si="19"/>
        <v>14312.4732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Gemini II alsó vezetés 6m fényes fehér</v>
      </c>
      <c r="C592" s="185">
        <f t="shared" si="19"/>
        <v>14312.4732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vezető profil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fogantyú profil 3,5m ezüst</v>
      </c>
      <c r="C595" s="185">
        <f t="shared" si="19"/>
        <v>16185.41373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felső vezetés 3,5m ezüst</v>
      </c>
      <c r="C596" s="185" t="e">
        <f t="shared" si="19"/>
        <v>#N/A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Comfort felső vezetés 2,35m oliva</v>
      </c>
      <c r="C597" s="185">
        <f t="shared" si="19"/>
        <v>19981.374199999998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felső vezetés 6m oliva</v>
      </c>
      <c r="C598" s="185" t="e">
        <f t="shared" si="19"/>
        <v>#N/A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02811 Maxim alsó takaró profil 3,5m 18mm ezüst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felső vezetés 6m ezüst</v>
      </c>
      <c r="C603" s="185">
        <f t="shared" si="19"/>
        <v>19200.14761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 04476  Blue felső vezetés 6m ezüst</v>
      </c>
      <c r="C604" s="185" t="e">
        <f t="shared" si="19"/>
        <v>#N/A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biztonsági fólia 300mm/50m transzparens</v>
      </c>
      <c r="C605" s="185" t="e">
        <f t="shared" si="19"/>
        <v>#N/A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Idea felső/alsó vezetés 6m ezüst</v>
      </c>
      <c r="C606" s="185" t="e">
        <f t="shared" si="19"/>
        <v>#N/A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02067 Maxim vasalat szett 3 ajtóra 2,5m ezüst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vasalat szett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04469-M Blue felső vezetés 6m oliva</v>
      </c>
      <c r="C610" s="185">
        <f t="shared" si="19"/>
        <v>22125.917969999999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csillapító Central 10/18mm kétoldalú 25kg</v>
      </c>
      <c r="C611" s="185">
        <f t="shared" si="19"/>
        <v>19364.876939999998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SEVROLL20319-SV  csillapító Central 10 / 18mm kétoldalas 25-40kg</v>
      </c>
      <c r="C612" s="185">
        <f t="shared" si="19"/>
        <v>19364.876939999998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felső vezetés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Doubler II alsó vezetés 6m ezüst</v>
      </c>
      <c r="C614" s="185">
        <f t="shared" si="19"/>
        <v>19670.886839999999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szett csillapító J+B</v>
      </c>
      <c r="C615" s="185">
        <f t="shared" si="19"/>
        <v>22091.74668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felső vezetés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Maxim vezető profil 6m ezüst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vasalat szett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alsó takaró profil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felső vezetés 4,3m ezüst</v>
      </c>
      <c r="C621" s="185" t="e">
        <f t="shared" si="19"/>
        <v>#N/A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felső vezető profil3m ezüst</v>
      </c>
      <c r="C622" s="185">
        <f t="shared" si="19"/>
        <v>20412.050360000001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Gemini felső vezetés 6m arany</v>
      </c>
      <c r="C624" s="185">
        <f t="shared" si="19"/>
        <v>24037.743399999999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Doubler II alsó vezetés 6m oliva</v>
      </c>
      <c r="C625" s="185">
        <f t="shared" si="19"/>
        <v>24588.608349999999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vasalat szett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felső vezetés 6m ezüst</v>
      </c>
      <c r="C627" s="185">
        <f t="shared" si="19"/>
        <v>20311.893090000001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Comfort felső vezetés 3m oliva</v>
      </c>
      <c r="C628" s="185">
        <f t="shared" si="19"/>
        <v>25510.055260000001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Herkules plus felső vezetés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02801 Maxim alsó takaró profil 4,3m 18mm ezüst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01391 Gemini felső vezetés 6m oliva</v>
      </c>
      <c r="C631" s="185">
        <f t="shared" si="19"/>
        <v>24037.743399999999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ütközés csillapító Top SV60 - 2db</v>
      </c>
      <c r="C632" s="185">
        <f t="shared" si="19"/>
        <v>20102.976739999998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vasalat szett két ajtóra 50kg</v>
      </c>
      <c r="C633" s="185" t="e">
        <f t="shared" si="19"/>
        <v>#N/A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felső vezetés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csillapító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ütközés csillapító Top SV80 - 2db</v>
      </c>
      <c r="C636" s="185">
        <f t="shared" si="19"/>
        <v>21497.166109999998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alsó takaró profil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vasalat szett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vasalat szett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vasalat szett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 Everest szett Fox II fogantyú profilhoz</v>
      </c>
      <c r="C645" s="185">
        <f t="shared" si="21"/>
        <v>20462.128990000001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vasalat szett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felső vezető profil4,05m ezüst</v>
      </c>
      <c r="C647" s="185">
        <f t="shared" si="21"/>
        <v>27563.279180000001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vasalat szett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Top felső vezetés egyszerű 6m ezüst</v>
      </c>
      <c r="C650" s="185">
        <f t="shared" si="21"/>
        <v>25680.322690000001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Maxim felső vezetés 6m ezüst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vasalat szett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felső vezetés 3,6m fekete szálcsiszolt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Maxim alsó takaró profil 6m 10mm ezüst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Comfort felső vezetés 4,05m oliva</v>
      </c>
      <c r="C655" s="185">
        <f t="shared" si="21"/>
        <v>34434.067340000001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felső vezetés 2m alu nyers</v>
      </c>
      <c r="C656" s="185" t="e">
        <f t="shared" si="21"/>
        <v>#N/A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felső vezetés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Top felső vezetés egyszerű 6m oliva</v>
      </c>
      <c r="C658" s="185" t="e">
        <f t="shared" si="21"/>
        <v>#N/A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felső vezetés 6m ezüst</v>
      </c>
      <c r="C659" s="185" t="e">
        <f t="shared" si="21"/>
        <v>#N/A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vasalat szett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vasalat szett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biztonsági fólia 500mm/50m transzparens</v>
      </c>
      <c r="C662" s="185">
        <f t="shared" si="21"/>
        <v>28088.810160000001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vasalat szett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Herkules Glass vasalat szett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felső vezetés 6m ezüst</v>
      </c>
      <c r="C669" s="185">
        <f t="shared" si="21"/>
        <v>40834.116679999999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vasalat szett 2 ajtószárnyra balos</v>
      </c>
      <c r="C670" s="185" t="e">
        <f t="shared" si="21"/>
        <v>#N/A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vasalat szett 2 ajtószárnyra jobbos</v>
      </c>
      <c r="C671" s="185">
        <f t="shared" si="21"/>
        <v>22014.566589999999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felső vezetés 6m oliva</v>
      </c>
      <c r="C672" s="185">
        <f t="shared" si="21"/>
        <v>51020.110520000002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vasalat szett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vasalat szett harmonika ajtóhoz 1200mm ezüst</v>
      </c>
      <c r="C675" s="185" t="e">
        <f t="shared" si="21"/>
        <v>#N/A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03159 Maxim sínkészlet 3 ajtóhoz 2,5m ezüst színben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ANB-biztonsági fólia 200mm/250m transzparens</v>
      </c>
      <c r="C677" s="185" t="e">
        <f t="shared" si="21"/>
        <v>#N/A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ANB-biztonsági fólia 250mm/250m transzparens</v>
      </c>
      <c r="C678" s="185" t="e">
        <f t="shared" si="21"/>
        <v>#N/A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ANB-biztonsági fólia 300mm/250m transzparens</v>
      </c>
      <c r="C679" s="185" t="e">
        <f t="shared" si="21"/>
        <v>#N/A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ANB-biztonsági fólia 400mm/250m transzparens</v>
      </c>
      <c r="C680" s="185" t="e">
        <f t="shared" si="21"/>
        <v>#N/A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ANB-biztonsági fólia 500mm/250m transzparens</v>
      </c>
      <c r="C681" s="185" t="e">
        <f t="shared" si="21"/>
        <v>#N/A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OKE-öntapadó, támfalas kefe 6,7x3mm szürke</v>
      </c>
      <c r="C684" s="185" t="e">
        <f t="shared" si="21"/>
        <v>#N/A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OKE-öntapadó, támfalas kefe 6,7x5mm szürke</v>
      </c>
      <c r="C685" s="185" t="e">
        <f t="shared" si="21"/>
        <v>#N/A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alsó görgő WD18V finomállító nélkül rugóval</v>
      </c>
      <c r="C688" s="185">
        <f t="shared" si="21"/>
        <v>2060.5293299999998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alsó vezetés 1,7m oliva</v>
      </c>
      <c r="C689" s="185" t="e">
        <f t="shared" si="21"/>
        <v>#N/A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alsó vezetés 1,7m ezüst</v>
      </c>
      <c r="C690" s="185" t="e">
        <f t="shared" si="21"/>
        <v>#N/A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alsó vezetés 1,7m arany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Cleft alsó vezetés 3m arany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Cleft alsó vezetés 4,05m arany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alsó vezetés 6m ezüst</v>
      </c>
      <c r="C700" s="185" t="e">
        <f t="shared" si="21"/>
        <v>#N/A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támfalas kefe öntapadó 4,8x4mm</v>
      </c>
      <c r="C701" s="185">
        <f t="shared" si="21"/>
        <v>81.360140000000001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támfalas kefe öntapadó 4,8x4mm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porfogó kefe öntapadó 6,7x13mm szürke</v>
      </c>
      <c r="C703" s="185">
        <f t="shared" si="21"/>
        <v>149.22027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támfalas kefe öntapadó 6,7x4mm szürke</v>
      </c>
      <c r="C704" s="185">
        <f t="shared" si="21"/>
        <v>89.639870000000002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támfalas kefe öntapadó 6,7x9mm szürke</v>
      </c>
      <c r="C705" s="185">
        <f t="shared" si="21"/>
        <v>153.77086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támfalas kefe becsúsztatható 14x4mm szürke</v>
      </c>
      <c r="C706" s="185">
        <f t="shared" si="21"/>
        <v>97.2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támfalas kefe becsúsztatható 14x4mm, 50m</v>
      </c>
      <c r="C707" s="185">
        <f t="shared" si="21"/>
        <v>6068.8232900000003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támfalas kefe becsúsztatható 4,8x4mm szürke</v>
      </c>
      <c r="C708" s="185">
        <f t="shared" ref="C708:C771" si="23">IF($A$2=1,H708,IF($A$2=2,I708,IF($A$2=3,J708,IF($A$2=4,K708,IF($A$2&gt;4,O708,"zadat jazyk")))))</f>
        <v>35.639870000000002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támfalas kefe becsúsztatható 4,8x4mm fehér</v>
      </c>
      <c r="C709" s="185">
        <f t="shared" si="23"/>
        <v>61.50817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támfalas kefe becsúsztatható 4,8x6mm</v>
      </c>
      <c r="C710" s="185">
        <f t="shared" si="23"/>
        <v>54.202759999999998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porkefe 4,8x9mm szürke</v>
      </c>
      <c r="C711" s="185">
        <f t="shared" si="23"/>
        <v>92.262690000000006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támfalas kefe becsúsztatható 14x4mm fehér</v>
      </c>
      <c r="C712" s="185">
        <f t="shared" si="23"/>
        <v>149.05521999999999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SEVROLL04290 Elegant II alsó vezetés 1,7m fényes fehér</v>
      </c>
      <c r="C713" s="185">
        <f t="shared" si="23"/>
        <v>4176.5579900000002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 Elegant II alsó vezetés 1,7m fekete szálcsiszolt</v>
      </c>
      <c r="C714" s="185">
        <f t="shared" si="23"/>
        <v>5979.3887400000003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alsó vezetés 1,7m oliva</v>
      </c>
      <c r="C715" s="185">
        <f t="shared" si="23"/>
        <v>4006.2905700000001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 04333-Y Elegant II alsó vezetés 1,7m oliva szálcsiszolt</v>
      </c>
      <c r="C716" s="185">
        <f t="shared" si="23"/>
        <v>5979.3887400000003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Elegant II alsó vezetés 1,7m oliva sötét szálcsiszolt</v>
      </c>
      <c r="C717" s="185">
        <f t="shared" si="23"/>
        <v>5979.3887400000003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alsó vezetés 1,7m ezüst</v>
      </c>
      <c r="C718" s="185">
        <f t="shared" si="23"/>
        <v>3205.0324500000002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Elegant II alsó vezetés 1,7m arany</v>
      </c>
      <c r="C719" s="185">
        <f t="shared" si="23"/>
        <v>4006.2905700000001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  04291 L Elegant II alsó vezetés 2,35m fényes fehér</v>
      </c>
      <c r="C720" s="185">
        <f t="shared" si="23"/>
        <v>5739.01116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 04339 Elegant II alsó vezetés 2,35m fekete szálcsiszolt</v>
      </c>
      <c r="C721" s="185">
        <f t="shared" si="23"/>
        <v>8262.9742999999999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alsó vezetés 2,35m oliva szálcsiszolt</v>
      </c>
      <c r="C722" s="185">
        <f t="shared" si="23"/>
        <v>8262.9742999999999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Elegant II alsó vezetés 2,35m oliva sötét szálcsiszolt</v>
      </c>
      <c r="C723" s="185">
        <f t="shared" si="23"/>
        <v>8262.9742999999999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alsó vezetés 2,35m ezüst</v>
      </c>
      <c r="C724" s="185">
        <f t="shared" si="23"/>
        <v>4416.9351999999999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alsó vezetés 3m fényes fehér</v>
      </c>
      <c r="C725" s="185">
        <f t="shared" si="23"/>
        <v>7291.4487600000002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 04437 Elegant II alsó vezetés 3m matt fehér</v>
      </c>
      <c r="C726" s="185">
        <f t="shared" si="23"/>
        <v>7291.4487600000002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 04340 Elegant II alsó vezetés 3m fekete szálcsiszolt</v>
      </c>
      <c r="C727" s="185">
        <f t="shared" si="23"/>
        <v>10546.55984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alsó vezetés 3m oliva szálcsiszolt</v>
      </c>
      <c r="C728" s="185">
        <f t="shared" si="23"/>
        <v>10546.55984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Elegant II alsó vezetés 3m oliva sötét szálcsiszolt</v>
      </c>
      <c r="C729" s="185">
        <f t="shared" si="23"/>
        <v>10546.55984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alsó vezetés 3m ezüst</v>
      </c>
      <c r="C730" s="185">
        <f t="shared" si="23"/>
        <v>5608.8068000000003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alsó vezetés 4,05m fényes fehér</v>
      </c>
      <c r="C731" s="185">
        <f t="shared" si="23"/>
        <v>9875.5060699999995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 04341 Elegant II alsó vezetés 4,05m fekete szálcsiszolt</v>
      </c>
      <c r="C732" s="185">
        <f t="shared" si="23"/>
        <v>14242.36305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 Elegant II alsó vezetés 4,05m oliva szálcsiszolt</v>
      </c>
      <c r="C733" s="185">
        <f t="shared" si="23"/>
        <v>14242.36305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Elegant II alsó vezetés 4,05m oliva sötét szálcsiszolt</v>
      </c>
      <c r="C734" s="185">
        <f t="shared" si="23"/>
        <v>14242.36305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 Elegant II alsó vezetés 4,05m ezüst</v>
      </c>
      <c r="C735" s="185">
        <f t="shared" si="23"/>
        <v>7601.9364999999998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alsó vezetés 6m fekete szálcsiszolt</v>
      </c>
      <c r="C736" s="185">
        <f t="shared" si="23"/>
        <v>21093.11968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alsó vezetés 6m oliva szálcsiszolt</v>
      </c>
      <c r="C737" s="185">
        <f t="shared" si="23"/>
        <v>21093.11968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alsó vezetés 6m oliva sötét szálcsiszolt</v>
      </c>
      <c r="C738" s="185" t="e">
        <f t="shared" si="23"/>
        <v>#N/A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 Elegant II alsó vezetés 6m ezüst</v>
      </c>
      <c r="C739" s="185">
        <f t="shared" si="23"/>
        <v>11227.629139999999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megfogó rúd 10mm 2,70m olívaolaj színű</v>
      </c>
      <c r="C741" s="185">
        <f t="shared" si="23"/>
        <v>5534.0228800000004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fogantyú profil 10mm 2,70m ezüst</v>
      </c>
      <c r="C742" s="185">
        <f t="shared" si="23"/>
        <v>4669.3318200000003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Faworyt II fogantyú profil 2,7m oliva</v>
      </c>
      <c r="C743" s="185">
        <f t="shared" si="23"/>
        <v>6209.7503900000002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fogantyú profil 2,7m ezüst</v>
      </c>
      <c r="C744" s="185">
        <f t="shared" si="23"/>
        <v>4847.6117400000003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felső görgő 18mm 2db</v>
      </c>
      <c r="C747" s="185">
        <f t="shared" si="23"/>
        <v>1547.9598100000001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16mm fogantyú profil 2,7m arany</v>
      </c>
      <c r="C748" s="185">
        <f t="shared" si="23"/>
        <v>4086.4163100000001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 04379 Fox II fogantyú profil 2,7m fényes fehér</v>
      </c>
      <c r="C749" s="185">
        <f t="shared" si="23"/>
        <v>8313.0529399999996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 Fox II fogantyú profil 2,7m fekete szálcsiszolt</v>
      </c>
      <c r="C750" s="185">
        <f t="shared" si="23"/>
        <v>9685.2075299999997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 Fox II fogantyú profil 2,7m oliva szálcsiszolt</v>
      </c>
      <c r="C751" s="185">
        <f t="shared" si="23"/>
        <v>9685.2075299999997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felső vezetés 1,7m fényes fehér</v>
      </c>
      <c r="C752" s="185">
        <f t="shared" si="23"/>
        <v>7081.1186600000001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felső vezetés 1,7m fekete szálcsiszolt</v>
      </c>
      <c r="C753" s="185">
        <f t="shared" si="23"/>
        <v>9364.7042000000001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felső vezetés 1,7m oliva szálcsiszolt</v>
      </c>
      <c r="C754" s="185">
        <f t="shared" si="23"/>
        <v>9364.7042000000001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Gemini felső vezetés 1,7m oliva sötét szálcsiszolt</v>
      </c>
      <c r="C755" s="185">
        <f t="shared" si="23"/>
        <v>9364.7042000000001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felső vezetés 2,35m fényes fehér</v>
      </c>
      <c r="C756" s="185">
        <f t="shared" si="23"/>
        <v>9795.3803599999992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felső vezetés 2,35m fekete szálcsiszolt</v>
      </c>
      <c r="C757" s="185">
        <f t="shared" si="23"/>
        <v>12940.31861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felső vezetés 2,35m oliva szálcsiszolt</v>
      </c>
      <c r="C758" s="185">
        <f t="shared" si="23"/>
        <v>12940.31861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Gemini felső vezetés 2,35m oliva sötét szálcsiszolt</v>
      </c>
      <c r="C759" s="185">
        <f t="shared" si="23"/>
        <v>12940.31861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felső vezetés 3m fényes fehér</v>
      </c>
      <c r="C760" s="185">
        <f t="shared" si="23"/>
        <v>12499.626490000001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felső vezetés 3m fekete szálcsiszolt</v>
      </c>
      <c r="C761" s="185">
        <f t="shared" si="23"/>
        <v>16515.93302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felső vezetés 3m oliva szálcsiszolt</v>
      </c>
      <c r="C762" s="185">
        <f t="shared" si="23"/>
        <v>16515.93302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Gemini felső vezetés 3m oliva sötét szálcsiszolt</v>
      </c>
      <c r="C763" s="185">
        <f t="shared" si="23"/>
        <v>16515.93302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felső vezetés 4,05m fényes fehér</v>
      </c>
      <c r="C764" s="185">
        <f t="shared" si="23"/>
        <v>16876.499019999999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felső vezetés 4,05m fekete szálcsiszolt</v>
      </c>
      <c r="C765" s="185">
        <f t="shared" si="23"/>
        <v>22295.006850000002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  02500-Y Gemini felső vezetés 4,05m oliva szálcsiszolt</v>
      </c>
      <c r="C766" s="185">
        <f t="shared" si="23"/>
        <v>22295.006850000002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Gemini felső vezetés 4,05m oliva sötét szálcsiszolt</v>
      </c>
      <c r="C767" s="185">
        <f t="shared" si="23"/>
        <v>22295.006850000002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Gemini felső vezetés 6m fényes fehér</v>
      </c>
      <c r="C768" s="185">
        <f t="shared" si="23"/>
        <v>24999.252980000001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felső vezetés 6m fekete szálcsiszolt</v>
      </c>
      <c r="C769" s="185">
        <f t="shared" si="23"/>
        <v>33021.850079999997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felső vezetés 6m oliva szálcsiszolt</v>
      </c>
      <c r="C770" s="185">
        <f t="shared" si="23"/>
        <v>33021.850079999997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felső vezetés 6m oliva sötét szálcsiszolt</v>
      </c>
      <c r="C771" s="185" t="e">
        <f t="shared" si="23"/>
        <v>#N/A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 02284 Gemini-2 fogantyú profil 2,7m ezüst</v>
      </c>
      <c r="C772" s="185">
        <f t="shared" ref="C772:C835" si="25">IF($A$2=1,H772,IF($A$2=2,I772,IF($A$2=3,J772,IF($A$2=4,K772,IF($A$2&gt;4,O772,"zadat jazyk")))))</f>
        <v>7271.4172099999996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felső vezető profil 1,7m fényes fehér</v>
      </c>
      <c r="C773" s="185">
        <f t="shared" si="25"/>
        <v>4036.3376800000001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 03097 felső vezető profil 1,7m fekete szálcsiszolt</v>
      </c>
      <c r="C774" s="185">
        <f t="shared" si="25"/>
        <v>5047.9262699999999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felső vezető profil 1,7m oliva</v>
      </c>
      <c r="C775" s="185">
        <f t="shared" si="25"/>
        <v>3705.8187600000001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felső vezető profil 1,7m oliva szálcsiszolt</v>
      </c>
      <c r="C776" s="185">
        <f t="shared" si="25"/>
        <v>5047.9262699999999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felső vezető profil 1,7m oliva sötét szálcsiszolt</v>
      </c>
      <c r="C777" s="185">
        <f t="shared" si="25"/>
        <v>5047.9262699999999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felső vezető profil 1,7m ezüst</v>
      </c>
      <c r="C778" s="185">
        <f t="shared" si="25"/>
        <v>3104.87518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felső vezető profil 2,35m fényes fehér</v>
      </c>
      <c r="C779" s="185">
        <f t="shared" si="25"/>
        <v>5588.7752499999997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 03098 felső vezető profil 2,35m fekete szálcsiszolt</v>
      </c>
      <c r="C780" s="185">
        <f t="shared" si="25"/>
        <v>7000.9929199999997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felső vezető profil 2,35m oliva</v>
      </c>
      <c r="C781" s="185">
        <f t="shared" si="25"/>
        <v>5138.0675700000002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felső vezető profil 2,35m oliva szálcsiszolt</v>
      </c>
      <c r="C782" s="185">
        <f t="shared" si="25"/>
        <v>7000.9929199999997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felső vezető profil 2,35m oliva sötét szálcsiszolt</v>
      </c>
      <c r="C783" s="185">
        <f t="shared" si="25"/>
        <v>7000.9929199999997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felső vezető profil 2,35m ezüst</v>
      </c>
      <c r="C784" s="185">
        <f t="shared" si="25"/>
        <v>4296.7467900000001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felső vezető profil 2,35m arany</v>
      </c>
      <c r="C785" s="185">
        <f t="shared" si="25"/>
        <v>5138.0675700000002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felső vezető profil 3m fényes fehér</v>
      </c>
      <c r="C786" s="185">
        <f t="shared" si="25"/>
        <v>7131.1972999999998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 03099 felső vezető profil 3m fekete szálcsiszolt</v>
      </c>
      <c r="C787" s="185">
        <f t="shared" si="25"/>
        <v>8924.0120800000004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felső vezető profil 3m oliva</v>
      </c>
      <c r="C788" s="185">
        <f t="shared" si="25"/>
        <v>6560.3008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felső vezető profil 3m oliva szálcsiszolt</v>
      </c>
      <c r="C789" s="185">
        <f t="shared" si="25"/>
        <v>8924.0120800000004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felső vezető profil 3m oliva sötét szálcsiszolt</v>
      </c>
      <c r="C790" s="185">
        <f t="shared" si="25"/>
        <v>8924.0120800000004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felső vezető profil 3m ezüst</v>
      </c>
      <c r="C791" s="185">
        <f t="shared" si="25"/>
        <v>5488.6179899999997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felső vezető profil 3m arany</v>
      </c>
      <c r="C792" s="185">
        <f t="shared" si="25"/>
        <v>6560.3008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felső vezető profil Simple/Blue 1,5m (10 mm-es rétegeltlemez)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felső vezető profil Simple/Blue 2,5m (10 mm-es rétegeltlemez)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felső vezető profil Simple/Blue 2m (10 mm-es rétegeltlemez)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Felső vezetősín Simple/Blue 3m (10mm-es laminált anyaghoz) olíva</v>
      </c>
      <c r="C796" s="185">
        <f t="shared" si="25"/>
        <v>5879.8990400000002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felső vezető profil Simple/Blue 3m (10 mm-es rétegeltlemez) ezüst</v>
      </c>
      <c r="C797" s="185">
        <f t="shared" si="25"/>
        <v>4699.85023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felső vezető profil Simple/Blue 1,5m (18 mm-es rétegeltlemez) ezüs</v>
      </c>
      <c r="C799" s="185">
        <f t="shared" si="25"/>
        <v>2034.56717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felső vezető profil Simple/Blue 2,5m (18 mm-es rétegeltlemez) oliva</v>
      </c>
      <c r="C800" s="185" t="e">
        <f t="shared" si="25"/>
        <v>#N/A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felső vezető profil Simple/Blue 2,5m (18 mm-es rétegeltlemez) ezüst</v>
      </c>
      <c r="C801" s="185" t="e">
        <f t="shared" si="25"/>
        <v>#N/A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 04457 felső vezető profil Simple/Blue 2m (18 mm-es rétegeltlemez) oliva</v>
      </c>
      <c r="C802" s="185">
        <f t="shared" si="25"/>
        <v>3357.0358299999998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felső vezető profil Simple/Blue 2m (18 mm-es rétegeltlemez) ezüst</v>
      </c>
      <c r="C803" s="185">
        <f t="shared" si="25"/>
        <v>2705.97417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 04459 felső vezető profil Simple/Blue 3m (18 mm-es rétegeltlemez) oliva</v>
      </c>
      <c r="C804" s="185">
        <f t="shared" si="25"/>
        <v>5025.3810700000004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 04463  felső vezető profil Simple/Blue 3m (18 mm-es rétegeltlemez) ezüs</v>
      </c>
      <c r="C805" s="185">
        <f t="shared" si="25"/>
        <v>4058.9616799999999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felső görgő 10mm aszimmetrikus J+B</v>
      </c>
      <c r="C806" s="185">
        <f t="shared" si="25"/>
        <v>2204.04898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felső görgő Blue 10mm szimmetrikus J+B</v>
      </c>
      <c r="C807" s="185">
        <f t="shared" si="25"/>
        <v>1435.1946800000001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felső görgő Gemini szimmetrikus 10mm - 2db</v>
      </c>
      <c r="C808" s="185">
        <f t="shared" si="25"/>
        <v>2040.0269000000001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felső görgő Simple (10mm Fala) aszimmetrikus J+B</v>
      </c>
      <c r="C809" s="185">
        <f t="shared" si="25"/>
        <v>850.86532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felső görgő Simple (10mm Polo) szimmetrikus J+B</v>
      </c>
      <c r="C810" s="185">
        <f t="shared" si="25"/>
        <v>850.86532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felső görgő Simple (18 mm-es rétegeltlemez) keret nélküli J+B</v>
      </c>
      <c r="C811" s="185">
        <f t="shared" si="25"/>
        <v>871.36820999999998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felső görgő Simple (18 mm-es rétegeltlemez) keretes J+B</v>
      </c>
      <c r="C812" s="185">
        <f t="shared" si="25"/>
        <v>850.86532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takaró profil Cleft 1,7m arany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takaró profil Cleft 2,35m ezüst</v>
      </c>
      <c r="C820" s="185" t="e">
        <f t="shared" si="25"/>
        <v>#N/A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takaró profil Cleft 2,35m arany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takaró profil Cleft 3m arany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takaró profil Cleft 4,05m arany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takaró profil Cleft 6m ezüst</v>
      </c>
      <c r="C828" s="185">
        <f t="shared" si="25"/>
        <v>1464.5577000000001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 04296  takaró profil Elegant II 1,7m oliva</v>
      </c>
      <c r="C829" s="185">
        <f t="shared" si="25"/>
        <v>1231.93427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takaró profil Elegant II 1,7m ezüst</v>
      </c>
      <c r="C830" s="185">
        <f t="shared" si="25"/>
        <v>991.55706999999995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takaró profil Elegant II 1,7m arany</v>
      </c>
      <c r="C831" s="185">
        <f t="shared" si="25"/>
        <v>1231.93427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 04297  takaró profil Elegant II 2,35m oliva</v>
      </c>
      <c r="C832" s="185">
        <f t="shared" si="25"/>
        <v>1702.6734799999999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 04303 takaró profil Elegant II 2,35m ezüst</v>
      </c>
      <c r="C833" s="185">
        <f t="shared" si="25"/>
        <v>1362.1386299999999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takaró profil Elegant II 2,35m arany</v>
      </c>
      <c r="C834" s="185">
        <f t="shared" si="25"/>
        <v>1702.6734799999999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 04298  takaró profil Elegant II 3m oliva</v>
      </c>
      <c r="C835" s="185">
        <f t="shared" si="25"/>
        <v>2183.4282699999999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takaró profil Elegant II 3m ezüst</v>
      </c>
      <c r="C836" s="185">
        <f t="shared" ref="C836:C899" si="27">IF($A$2=1,H836,IF($A$2=2,I836,IF($A$2=3,J836,IF($A$2=4,K836,IF($A$2&gt;4,O836,"zadat jazyk")))))</f>
        <v>1742.7365600000001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takaró profil Elegant II 3m arany</v>
      </c>
      <c r="C837" s="185">
        <f t="shared" si="27"/>
        <v>2183.4282699999999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 04299  takaró profil Elegant II 4,05m oliva</v>
      </c>
      <c r="C838" s="185">
        <f t="shared" si="27"/>
        <v>2944.62372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 takaró profil Elegant II 4,05m ezüst</v>
      </c>
      <c r="C839" s="185">
        <f t="shared" si="27"/>
        <v>2353.6957200000002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takaró profil Elegant II 4,05m arany</v>
      </c>
      <c r="C840" s="185">
        <f t="shared" si="27"/>
        <v>2944.62372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takaró profil Elegant II 6m oliva</v>
      </c>
      <c r="C841" s="185">
        <f t="shared" si="27"/>
        <v>4356.8409799999999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 04307 takaró profil Elegant II 6m ezüst</v>
      </c>
      <c r="C842" s="185">
        <f t="shared" si="27"/>
        <v>3485.4726999999998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takaró profil Elegant II 6m arany</v>
      </c>
      <c r="C843" s="185">
        <f t="shared" si="27"/>
        <v>4356.8409799999999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vasalat szett 1 ajtószárnyra</v>
      </c>
      <c r="C845" s="185">
        <f t="shared" si="27"/>
        <v>2443.8374100000001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Pax alsó takaró profil 3m 4mm ezüst</v>
      </c>
      <c r="C846" s="185">
        <f t="shared" si="27"/>
        <v>10015.726420000001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megfogósín 10mm 2,70m olajbogyó</v>
      </c>
      <c r="C847" s="185">
        <f t="shared" si="27"/>
        <v>6083.3557700000001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finomállító Simple Start</v>
      </c>
      <c r="C848" s="185" t="e">
        <f t="shared" si="27"/>
        <v>#N/A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porfogó kefe becsúsztatható 4,8x13mm</v>
      </c>
      <c r="C849" s="185">
        <f t="shared" si="27"/>
        <v>90.9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 04747 Rekord fogantyú profil 18mm 2,70m oliva</v>
      </c>
      <c r="C850" s="185">
        <f t="shared" si="27"/>
        <v>6093.5288499999997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alsó vezetés 1,7m oliva</v>
      </c>
      <c r="C851" s="185">
        <f t="shared" si="27"/>
        <v>1822.8623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alsó vezetés 2,35m oliva</v>
      </c>
      <c r="C852" s="185">
        <f t="shared" si="27"/>
        <v>2513.9471800000001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alsó vezetés 3m oliva</v>
      </c>
      <c r="C853" s="185">
        <f t="shared" si="27"/>
        <v>3195.0168899999999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alsó vezetés 3m ezüst</v>
      </c>
      <c r="C854" s="185">
        <f t="shared" si="27"/>
        <v>2614.1044200000001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alsó takaró profil 1,7m 10mm fényes fehér</v>
      </c>
      <c r="C855" s="185">
        <f t="shared" si="27"/>
        <v>7331.51181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 03091 alsó takaró profil 1,7m 10mm fekete szálcsiszolt</v>
      </c>
      <c r="C856" s="185">
        <f t="shared" si="27"/>
        <v>8573.4616399999995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 alsó takaró profil 1,7m 10mm oliva</v>
      </c>
      <c r="C857" s="185">
        <f t="shared" si="27"/>
        <v>6900.83565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alsó takaró profil 1,7m 10mm oliva szálcsiszolt</v>
      </c>
      <c r="C858" s="185">
        <f t="shared" si="27"/>
        <v>8573.4616399999995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alsó takaró profil 1,7m 10mm ezüst</v>
      </c>
      <c r="C859" s="185">
        <f t="shared" si="27"/>
        <v>5638.8538900000003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alsó takaró profil 1,7m 10mm arany</v>
      </c>
      <c r="C860" s="185">
        <f t="shared" si="27"/>
        <v>6900.83565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SEVROLL04063 alsó takaró profil 2,35m 10mm fényes fehér</v>
      </c>
      <c r="C861" s="185">
        <f t="shared" si="27"/>
        <v>10125.899240000001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alsó takaró profil 2,35m 10mm oliva</v>
      </c>
      <c r="C862" s="185">
        <f t="shared" si="27"/>
        <v>9514.9400999999998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 alsó takaró profil 2,35m 10mm oliva szálcsiszolt</v>
      </c>
      <c r="C863" s="185">
        <f t="shared" si="27"/>
        <v>11868.6358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 00162 alsó takaró profil 2,35m 10mm ezüst</v>
      </c>
      <c r="C864" s="185">
        <f t="shared" si="27"/>
        <v>7792.2350699999997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 03092 alsó takaró profil 2,35m 10mm fekete szálcsiszolt</v>
      </c>
      <c r="C865" s="185">
        <f t="shared" si="27"/>
        <v>11868.6358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 alsó takaró profil 3m 10mm fényes fehér</v>
      </c>
      <c r="C866" s="185">
        <f t="shared" si="27"/>
        <v>12960.35014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 03093 alsó takaró profil 3m 10mm fekete szálcsiszolt</v>
      </c>
      <c r="C867" s="185">
        <f t="shared" si="27"/>
        <v>15163.809960000001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alsó takaró profil 3m 10mm oliva</v>
      </c>
      <c r="C868" s="185">
        <f t="shared" si="27"/>
        <v>12179.123159999999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alsó takaró profil 3m 10mm oliva szálcsiszolt</v>
      </c>
      <c r="C869" s="185">
        <f t="shared" si="27"/>
        <v>15163.809960000001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alsó takaró profil 3m 10mm ezüst</v>
      </c>
      <c r="C870" s="185">
        <f t="shared" si="27"/>
        <v>9965.6477799999993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alsó takaró profil 3m 10mm arany</v>
      </c>
      <c r="C871" s="185">
        <f t="shared" si="27"/>
        <v>12179.123159999999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alsó fedőszalag Simple/Blue 3m (10mm-es laminált anyaghoz) olíva</v>
      </c>
      <c r="C872" s="185">
        <f t="shared" si="27"/>
        <v>9094.51541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 alsó takaró profil Simple/Blue 3m (10 mm-es rétegeltlemez) ezüst</v>
      </c>
      <c r="C873" s="185">
        <f t="shared" si="27"/>
        <v>7649.97264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 04452 alsó takaró profil Simple/Blue 1,5m (18 mm-es rétegeltlemez) ezüs</v>
      </c>
      <c r="C875" s="185">
        <f t="shared" si="27"/>
        <v>3957.2333100000001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alsó takaró profil Simple/Blue 2,5m (18 mm-es rétegeltlemez) oliva</v>
      </c>
      <c r="C876" s="185" t="e">
        <f t="shared" si="27"/>
        <v>#N/A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alsó takaró profil Simple/Blue 2,5m (18 mm-es rétegeltlemez) ezüst</v>
      </c>
      <c r="C877" s="185">
        <f t="shared" si="27"/>
        <v>6591.99755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 04449 alsó takaró profil Simple/Blue 2m (18 mm-es rétegeltlemez) oliva</v>
      </c>
      <c r="C878" s="185">
        <f t="shared" si="27"/>
        <v>6530.9607100000003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alsó takaró profil Simple/Blue 2m (18 mm-es rétegeltlemez) ezüst</v>
      </c>
      <c r="C879" s="185">
        <f t="shared" si="27"/>
        <v>5269.5288899999996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 04451 alsó takaró profil Simple/Blue 3m (18 mm-es rétegeltlemez) oliva</v>
      </c>
      <c r="C880" s="185">
        <f t="shared" si="27"/>
        <v>9796.4408399999993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 04455 alsó takaró profil Simple/Blue 3m (18 mm-es rétegeltlemez) ezüst</v>
      </c>
      <c r="C881" s="185">
        <f t="shared" si="27"/>
        <v>7904.2935500000003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alsó görgő Simple/Blue V (keretes rendszer) - 2db</v>
      </c>
      <c r="C883" s="185">
        <f t="shared" si="27"/>
        <v>1076.396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alsó görgő WD10 V 2db finomáll.nélk.</v>
      </c>
      <c r="C885" s="185">
        <f t="shared" si="27"/>
        <v>2368.0710600000002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alsó görgő WD18V (2x görgő+finomállító) rugóval</v>
      </c>
      <c r="C887" s="185" t="e">
        <f t="shared" si="27"/>
        <v>#N/A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összekötő takaró profil 2,35m oliva sötét szálcsiszolt</v>
      </c>
      <c r="C888" s="185">
        <f t="shared" si="27"/>
        <v>11868.6358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összekötő profil H10 Decor 3m ezüst</v>
      </c>
      <c r="C889" s="185">
        <f t="shared" si="27"/>
        <v>5128.0520100000003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összekötő profil H18 3m fényes fehér</v>
      </c>
      <c r="C890" s="185">
        <f t="shared" si="27"/>
        <v>5999.42029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összekötő profil H18 3m fekete szálcsiszolt</v>
      </c>
      <c r="C891" s="185">
        <f t="shared" si="27"/>
        <v>7451.7006300000003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összekötő profil H18 3m oliva</v>
      </c>
      <c r="C892" s="185">
        <f t="shared" si="27"/>
        <v>5769.0582599999998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összekötő profil H18 3m oliva szálcsiszolt</v>
      </c>
      <c r="C893" s="185">
        <f t="shared" si="27"/>
        <v>7451.7006300000003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összekötő profil H18 3m oliva sötét szálcsiszolt</v>
      </c>
      <c r="C894" s="185">
        <f t="shared" si="27"/>
        <v>7451.7006300000003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összekötő profil H18 3m ezüst</v>
      </c>
      <c r="C895" s="185">
        <f t="shared" si="27"/>
        <v>4617.2497100000001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összekötő profil H18 3m arany</v>
      </c>
      <c r="C896" s="185">
        <f t="shared" si="27"/>
        <v>5769.0582599999998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 04446  összekötő profil Simple/Blue H21 3m (18 mm-es rétegeltlemez) oli</v>
      </c>
      <c r="C897" s="185">
        <f t="shared" si="27"/>
        <v>5584.8870299999999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 04444 összekötő profil Simple/Blue H28 3m (18 mm-es rétegeltlemez) oliv</v>
      </c>
      <c r="C898" s="185">
        <f t="shared" si="27"/>
        <v>9694.7124800000001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 02287 System 10 II fogantyú profil 2,7m ezüst</v>
      </c>
      <c r="C899" s="185">
        <f t="shared" si="27"/>
        <v>7271.4172099999996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tömítés üvegre 10/4,5mm</v>
      </c>
      <c r="C900" s="185">
        <f t="shared" ref="C900:C963" si="29">IF($A$2=1,H900,IF($A$2=2,I900,IF($A$2=3,J900,IF($A$2=4,K900,IF($A$2&gt;4,O900,"zadat jazyk")))))</f>
        <v>317.79295000000002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SEVROLL20031  tömítés üvegre 10/4mm</v>
      </c>
      <c r="C901" s="185">
        <f t="shared" si="29"/>
        <v>317.79295000000002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 tömítés üvegre 10/6mm</v>
      </c>
      <c r="C902" s="185">
        <f t="shared" si="29"/>
        <v>317.79295000000002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fogantyú profil 18mm 2,7m oliva</v>
      </c>
      <c r="C904" s="185">
        <f t="shared" si="29"/>
        <v>7271.4172099999996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 00639 Tytan fogantyú profil 18mm 2,7m ezüst</v>
      </c>
      <c r="C905" s="185">
        <f t="shared" si="29"/>
        <v>5979.3887400000003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szögletvas Mini 17x11mm 3m fényes fehér</v>
      </c>
      <c r="C906" s="185">
        <f t="shared" si="29"/>
        <v>2163.3967400000001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mintavevő Fogantyúk 2019 - iratgyűjtő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 szögletvas 3,6m ezüst (22/1)</v>
      </c>
      <c r="C913" s="185" t="e">
        <f t="shared" si="29"/>
        <v>#N/A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szögletvas 2,7m ezüst (22/1)</v>
      </c>
      <c r="C914" s="185">
        <f t="shared" si="29"/>
        <v>3064.8121299999998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 szögletvas 1,8m ezüst (22/1)</v>
      </c>
      <c r="C915" s="185" t="e">
        <f t="shared" si="29"/>
        <v>#N/A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összekötő H08 profil 3m ezüst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 alsó vezetés 3,6m ezüst (22/1)</v>
      </c>
      <c r="C917" s="185">
        <f t="shared" si="29"/>
        <v>8533.3989999999994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 alsó vezetés 2,7m ezüst (22/1)</v>
      </c>
      <c r="C918" s="185" t="e">
        <f t="shared" si="29"/>
        <v>#N/A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 alsó vezetés 1,8m ezüst (22/1)</v>
      </c>
      <c r="C919" s="185" t="e">
        <f t="shared" si="29"/>
        <v>#N/A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fogantyú profil 2,7m ezüst (32/1)</v>
      </c>
      <c r="C920" s="185" t="e">
        <f t="shared" si="29"/>
        <v>#N/A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 felső vezetés 3,6m ezüst (32/1)</v>
      </c>
      <c r="C921" s="185" t="e">
        <f t="shared" si="29"/>
        <v>#N/A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 felső vezetés 2,7m ezüst (32/1)</v>
      </c>
      <c r="C922" s="185">
        <f t="shared" si="29"/>
        <v>14122.17425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 felső vezetés 1,8m ezüst (32/1)</v>
      </c>
      <c r="C923" s="185">
        <f t="shared" si="29"/>
        <v>8182.8485600000004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fogantyú profil 2,7m ezüst (22/1)</v>
      </c>
      <c r="C924" s="185">
        <f t="shared" si="29"/>
        <v>7541.8419000000004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sín INTER S 35kg a mennyezetbe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sín INTER S 35kg a mennyezetbe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sín INTER B 35kg a falra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sín INTER B 35kg a falra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sín Galaxy S 50kg a mennyezetbe 4m</v>
      </c>
      <c r="C929" s="185">
        <f t="shared" si="29"/>
        <v>9397.1080999999995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sín Galaxy S 50kg a mennyezetbe 2,5m</v>
      </c>
      <c r="C930" s="185" t="e">
        <f t="shared" si="29"/>
        <v>#N/A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sín Galaxy S 50kg a mennyezetbe 1,5m</v>
      </c>
      <c r="C931" s="185">
        <f t="shared" si="29"/>
        <v>3525.1430799999998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sín Galaxy B 50kg a falra 4m</v>
      </c>
      <c r="C932" s="185">
        <f t="shared" si="29"/>
        <v>9868.4363300000005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sín Galaxy B 50kg a falra 2,5m</v>
      </c>
      <c r="C933" s="185" t="e">
        <f t="shared" si="29"/>
        <v>#N/A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felső vezetés 1,8m ezüst</v>
      </c>
      <c r="C934" s="185" t="e">
        <f t="shared" si="29"/>
        <v>#N/A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sín INTER S 35kg a mennyezetbe 2m</v>
      </c>
      <c r="C935" s="185" t="e">
        <f t="shared" si="29"/>
        <v>#N/A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 sín INTER S 35kg a mennyezetbe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SEVROLL50455  sín INTER B 35kg a falra 2m</v>
      </c>
      <c r="C937" s="185" t="e">
        <f t="shared" si="29"/>
        <v>#N/A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sín INTER B 35kg a falra 1,5m</v>
      </c>
      <c r="C938" s="185" t="e">
        <f t="shared" si="29"/>
        <v>#N/A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sín Galaxy S 50kg a mennyezetbe 6m</v>
      </c>
      <c r="C939" s="185">
        <f t="shared" si="29"/>
        <v>14090.752350000001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SEVROLL50449  sín Galaxy S 50kg a mennyezetbe 3m</v>
      </c>
      <c r="C940" s="185">
        <f t="shared" si="29"/>
        <v>7040.4665999999997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sín Galaxy S 50kg a mennyezetbe 2m</v>
      </c>
      <c r="C941" s="185">
        <f t="shared" si="29"/>
        <v>4703.4638500000001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sín Galaxy B 50kg a falra 6m</v>
      </c>
      <c r="C942" s="185">
        <f t="shared" si="29"/>
        <v>14817.38365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SEVROLL50451  sín Galaxy B 50kg a falra 3m</v>
      </c>
      <c r="C943" s="185">
        <f t="shared" si="29"/>
        <v>7403.7822299999998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sín Galaxy B 50kg a falra 2m</v>
      </c>
      <c r="C944" s="185">
        <f t="shared" si="29"/>
        <v>4939.1277499999997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fúró fokozatos 6,5/9,5mm</v>
      </c>
      <c r="C945" s="185">
        <f t="shared" si="29"/>
        <v>10898.66318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Simple profil minta (doboz)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sablon görgőkhöz 18 mm-es rétegeltlemez</v>
      </c>
      <c r="C954" s="185">
        <f t="shared" si="29"/>
        <v>1662.2421200000001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reklám sablon görgőkhöz 18 mm-es RL-hez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alsó görgő V 10mm + szerelési készlet ingyen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alsó görgő V 10mm + Fix + fúró ingyen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alsó görgő V 10mm - 2db + finomállító</v>
      </c>
      <c r="C962" s="185" t="e">
        <f t="shared" si="29"/>
        <v>#N/A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öntapadó fólia minták</v>
      </c>
      <c r="C963" s="185" t="e">
        <f t="shared" si="29"/>
        <v>#N/A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szerelési eszköz Eden/Pax-hoz</v>
      </c>
      <c r="C969" s="185" t="e">
        <f t="shared" si="31"/>
        <v>#N/A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szerelő eszköz 10 mm-es rétegelt lemezre nagy</v>
      </c>
      <c r="C970" s="185">
        <f t="shared" si="31"/>
        <v>47232.767570000004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fúró fokozatos 6,5/9,5mm</v>
      </c>
      <c r="C975" s="185">
        <f t="shared" si="31"/>
        <v>10898.66318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SEVROLL20238 Simple/Blue szerelési eszköz 10/18mm-es rétegelt lemezhez</v>
      </c>
      <c r="C976" s="185">
        <f t="shared" si="31"/>
        <v>4298.9068900000002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szerelési eszköz Maxim rendszerhez kicsi</v>
      </c>
      <c r="C977" s="185" t="e">
        <f t="shared" si="31"/>
        <v>#N/A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szerelő eszköz 10 mm-es rétegelt lemezre kicsi</v>
      </c>
      <c r="C978" s="185">
        <f t="shared" si="31"/>
        <v>4493.0024999999996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sablon görgőkhöz</v>
      </c>
      <c r="C979" s="185">
        <f t="shared" si="31"/>
        <v>2169.2782900000002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alsó vezető tartó Gemini</v>
      </c>
      <c r="C980" s="185">
        <f t="shared" si="31"/>
        <v>90.141710000000003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IF-takarós.önt.20mm 15db 93336 alu matt</v>
      </c>
      <c r="C981" s="185" t="e">
        <f t="shared" si="31"/>
        <v>#N/A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IF-ragasztott csavar takaró.13mm 20db 06 oliva metál</v>
      </c>
      <c r="C982" s="185" t="e">
        <f t="shared" si="31"/>
        <v>#N/A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IC-fogantyú profil Rome 10mm alu EU 5,3m ezüst</v>
      </c>
      <c r="C983" s="185" t="e">
        <f t="shared" si="31"/>
        <v>#N/A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 t="e">
        <f t="shared" si="31"/>
        <v>#N/A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>SEVROLL fúró fokozatos 6,5/9,5mm (akció)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szerelő eszköz 10 mm-es rétegelt lemezre kicsi (akció)</v>
      </c>
      <c r="C988" s="185" t="e">
        <f t="shared" si="31"/>
        <v>#N/A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S-porfogó kefe magas 4,8x12mm szürke</v>
      </c>
      <c r="C989" s="185" t="e">
        <f t="shared" si="31"/>
        <v>#N/A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profil függőleges széles Classic sarkvidéki ezüst</v>
      </c>
      <c r="C990" s="185" t="e">
        <f t="shared" si="31"/>
        <v>#N/A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IC-sín felső sarkvidéki ezüst 2m</v>
      </c>
      <c r="C991" s="185" t="e">
        <f t="shared" si="31"/>
        <v>#N/A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IC-sín alsó sarkvidéki ezüst 2m</v>
      </c>
      <c r="C992" s="185" t="e">
        <f t="shared" si="31"/>
        <v>#N/A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profil függőleges standard fehér 2,75m</v>
      </c>
      <c r="C993" s="185" t="e">
        <f t="shared" si="31"/>
        <v>#N/A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IC-sín felső fehér 2m</v>
      </c>
      <c r="C994" s="185" t="e">
        <f t="shared" si="31"/>
        <v>#N/A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IC-sín alsó fehér 2m</v>
      </c>
      <c r="C995" s="185" t="e">
        <f t="shared" si="31"/>
        <v>#N/A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vezető profil fehér 2,4m</v>
      </c>
      <c r="C996" s="185" t="e">
        <f t="shared" si="31"/>
        <v>#N/A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osztó profil fehér 2,75 m</v>
      </c>
      <c r="C997" s="185" t="e">
        <f t="shared" si="31"/>
        <v>#N/A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IC-tolóajtó pozicionáló transzparens</v>
      </c>
      <c r="C998" s="185" t="e">
        <f t="shared" si="31"/>
        <v>#N/A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imbusz kulcs Sevroll</v>
      </c>
      <c r="C999" s="185">
        <f t="shared" si="31"/>
        <v>1552.4376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fogantyú profil 18mm 2,70m fehér fényes</v>
      </c>
      <c r="C1000" s="185">
        <f t="shared" si="31"/>
        <v>6215.6025399999999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fogantyú profil 2,7m ezüst</v>
      </c>
      <c r="C1001" s="185">
        <f t="shared" si="31"/>
        <v>5598.7912200000001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fogantyú profil 2,7m oliva</v>
      </c>
      <c r="C1002" s="185">
        <f t="shared" si="31"/>
        <v>7021.0240599999997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fogantyú profil 2,7m fehér fényes</v>
      </c>
      <c r="C1003" s="185">
        <f t="shared" si="31"/>
        <v>7271.4172099999996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alsó vezetés 150mm matt fehér (minta)</v>
      </c>
      <c r="C1004" s="185" t="e">
        <f t="shared" si="31"/>
        <v>#N/A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alsó vezetés 150mm fényes fekete (minta)</v>
      </c>
      <c r="C1005" s="185" t="e">
        <f t="shared" si="31"/>
        <v>#N/A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teherbírása 170 kg</v>
      </c>
      <c r="C1006" s="185" t="e">
        <f t="shared" si="31"/>
        <v>#N/A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alsó vezetés 1,7m matt fekete</v>
      </c>
      <c r="C1007" s="185">
        <f t="shared" si="31"/>
        <v>4176.5579900000002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felső vezetés 1,7m matt fekete</v>
      </c>
      <c r="C1008" s="185">
        <f t="shared" si="31"/>
        <v>7081.1186600000001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Pax fogantyú ragasztható matt fekete</v>
      </c>
      <c r="C1009" s="185">
        <f t="shared" si="31"/>
        <v>3665.7557099999999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Pax végzáró profilhoz (4 db) matt fekete</v>
      </c>
      <c r="C1010" s="185">
        <f t="shared" si="31"/>
        <v>3567.4838199999999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"U" profil rétegelt lemezhez 18mm 3m matt fekete</v>
      </c>
      <c r="C1011" s="185">
        <f t="shared" si="31"/>
        <v>2383.7428100000002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szögletvas Mini 17x11mm 1,7m matt fekete</v>
      </c>
      <c r="C1012" s="185">
        <f t="shared" si="31"/>
        <v>1221.9187199999999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alsó takaró profil 1,7m 10mm matt fekete</v>
      </c>
      <c r="C1013" s="185">
        <f t="shared" si="31"/>
        <v>7331.51181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alsó takaró profil 2,35m 10mm matt fekete</v>
      </c>
      <c r="C1014" s="185">
        <f t="shared" si="31"/>
        <v>10125.899240000001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alsó takaró profil 3m 10mm matt fekete</v>
      </c>
      <c r="C1015" s="185">
        <f t="shared" si="31"/>
        <v>12960.35014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Pax alsó takaró profil 3m 4mm matt fekete</v>
      </c>
      <c r="C1016" s="185">
        <f t="shared" si="31"/>
        <v>13020.44433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Pax XL alsó takaró profil 3m matt fehér</v>
      </c>
      <c r="C1017" s="185" t="e">
        <f t="shared" si="31"/>
        <v>#N/A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Pax XL alsó takaró profil 3m matt matt fekete</v>
      </c>
      <c r="C1018" s="185">
        <f t="shared" si="31"/>
        <v>14552.850409999999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felső vezető profil 1,7m matt fekete</v>
      </c>
      <c r="C1019" s="185">
        <f t="shared" si="31"/>
        <v>4036.3376800000001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profil függőleges Standard jávor UP 2,75m</v>
      </c>
      <c r="C1020" s="185" t="e">
        <f t="shared" si="31"/>
        <v>#N/A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IC-profil Standard 10mm jávor UP 2,75m</v>
      </c>
      <c r="C1021" s="185" t="e">
        <f t="shared" si="31"/>
        <v>#N/A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IC-felső vezetés jávor 2m</v>
      </c>
      <c r="C1022" s="185" t="e">
        <f t="shared" si="31"/>
        <v>#N/A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IC-alsó vezetés jávor 2m</v>
      </c>
      <c r="C1023" s="185" t="e">
        <f t="shared" si="31"/>
        <v>#N/A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vízszintes profil jávor 2,4m</v>
      </c>
      <c r="C1024" s="185" t="e">
        <f t="shared" si="31"/>
        <v>#N/A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vízszintes profil jávor 2,4m</v>
      </c>
      <c r="C1025" s="185" t="e">
        <f t="shared" si="31"/>
        <v>#N/A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profil függőleges széles Classic bükk</v>
      </c>
      <c r="C1032" s="185" t="e">
        <f t="shared" si="33"/>
        <v>#N/A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IC-sín felső bükk 3m</v>
      </c>
      <c r="C1033" s="185" t="e">
        <f t="shared" si="33"/>
        <v>#N/A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IC-sín alsó bükk 3m</v>
      </c>
      <c r="C1034" s="185" t="e">
        <f t="shared" si="33"/>
        <v>#N/A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vízszintes profil bükk 2,4m</v>
      </c>
      <c r="C1035" s="185" t="e">
        <f t="shared" si="33"/>
        <v>#N/A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 t="e">
        <f t="shared" si="33"/>
        <v>#N/A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 t="e">
        <f t="shared" si="33"/>
        <v>#N/A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S-rápattintható profil 28mm 3,5m ezüst</v>
      </c>
      <c r="C1044" s="185" t="e">
        <f t="shared" si="33"/>
        <v>#N/A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 Akciós szett 20x fog.profil Rekord ezüst + 10x alsó és felső görgő szett</v>
      </c>
      <c r="C1045" s="185" t="e">
        <f t="shared" si="33"/>
        <v>#N/A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felső vezető profil 2,5m ezüst</v>
      </c>
      <c r="C1048" s="185" t="e">
        <f t="shared" si="33"/>
        <v>#N/A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alsó elox 2,5m</v>
      </c>
      <c r="C1049" s="185" t="e">
        <f t="shared" si="33"/>
        <v>#N/A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csillapító S45 szetthez elülső</v>
      </c>
      <c r="C1050" s="185" t="e">
        <f t="shared" si="33"/>
        <v>#N/A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csillapító S45 szetthez hátsó</v>
      </c>
      <c r="C1051" s="185" t="e">
        <f t="shared" si="33"/>
        <v>#N/A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Oxford fogantyú profil 2,7m ezüst</v>
      </c>
      <c r="C1061" s="185" t="e">
        <f t="shared" si="33"/>
        <v>#N/A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feszítő merevítő 2090mm</v>
      </c>
      <c r="C1066" s="185" t="e">
        <f t="shared" si="33"/>
        <v>#N/A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Ekonomik fogantyú profil 2,7m ezüst</v>
      </c>
      <c r="C1067" s="185" t="e">
        <f t="shared" si="33"/>
        <v>#N/A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Ekonomik felső vezetés 2m ezüst</v>
      </c>
      <c r="C1068" s="185" t="e">
        <f t="shared" si="33"/>
        <v>#N/A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Ekonomik felső vezetés 3m ezüst</v>
      </c>
      <c r="C1069" s="185">
        <f t="shared" si="33"/>
        <v>9825.4274700000005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Ekonomik felső vezetés 6m ezüst</v>
      </c>
      <c r="C1070" s="185" t="e">
        <f t="shared" si="33"/>
        <v>#N/A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Ekonomik alsó vezetés 2m ezüst</v>
      </c>
      <c r="C1071" s="185" t="e">
        <f t="shared" si="33"/>
        <v>#N/A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Ekonomik alsó vezetés 3m ezüst</v>
      </c>
      <c r="C1072" s="185">
        <f t="shared" si="33"/>
        <v>5428.5237900000002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Ekonomik alsó vezetés 6m ezüst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felső görgő Ekonomik Duo</v>
      </c>
      <c r="C1075" s="185">
        <f t="shared" si="33"/>
        <v>799.60839999999996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alsó görgő Ekonomik WD10V</v>
      </c>
      <c r="C1076" s="185">
        <f t="shared" si="33"/>
        <v>1353.18363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csavar 2,9x6,5 Ekonomik (100 db)</v>
      </c>
      <c r="C1077" s="185">
        <f t="shared" si="33"/>
        <v>881.61941999999999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Ekonomik vasalat szett 2 ajtóra</v>
      </c>
      <c r="C1078" s="185" t="e">
        <f t="shared" si="33"/>
        <v>#N/A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csavar Unix 3x10mm (1000 db)</v>
      </c>
      <c r="C1079" s="185" t="e">
        <f t="shared" si="33"/>
        <v>#N/A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csavar Unix 3x16mm (100 db)</v>
      </c>
      <c r="C1080" s="185" t="e">
        <f t="shared" si="33"/>
        <v>#N/A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alátét legyező alakú 3x6mm (100 db)</v>
      </c>
      <c r="C1081" s="185">
        <f t="shared" si="33"/>
        <v>1983.11376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Ekonomik vasalat szett 3 ajtóra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Herkules plus felső vezetés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Pax fogantyú profil 2,7m mat fekete</v>
      </c>
      <c r="C1090" s="185">
        <f t="shared" si="33"/>
        <v>10356.261270000001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Pax fogantyú profil 3m mat fekete</v>
      </c>
      <c r="C1091" s="185" t="e">
        <f t="shared" si="33"/>
        <v>#N/A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fogantyú profil 3m ezüst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fogantyú profil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felső vezetés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összekötő profil H18 3m matt fehér</v>
      </c>
      <c r="C1096" s="185">
        <f t="shared" si="35"/>
        <v>5999.42029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"U" profil RL-hez 18mm 3m matt fehér</v>
      </c>
      <c r="C1097" s="185">
        <f t="shared" si="35"/>
        <v>2383.7428100000002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felső profil alu elox 2m</v>
      </c>
      <c r="C1102" s="185" t="e">
        <f t="shared" si="35"/>
        <v>#N/A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alsó profil alu elox 2m</v>
      </c>
      <c r="C1103" s="185" t="e">
        <f t="shared" si="35"/>
        <v>#N/A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18 mm-es rétegelt lemezre 3m ezüst</v>
      </c>
      <c r="C1104" s="185" t="e">
        <f t="shared" si="35"/>
        <v>#N/A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>K-SEVROLL görgő szett 2 ajtószárnyra 18mm + sablon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összek.prof.Simple/Blue H25 3m(16mm)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összek.prof.Simple/Blue H25 3m(16mm)</v>
      </c>
      <c r="C1112" s="185" t="e">
        <f t="shared" si="35"/>
        <v>#N/A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Gemini fogantyú profil 2,7m matt feket</v>
      </c>
      <c r="C1116" s="185">
        <f t="shared" si="35"/>
        <v>9454.8458900000005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felső és középső profil 4/18mm 1,5m ezüst</v>
      </c>
      <c r="C1129" s="185" t="e">
        <f t="shared" si="35"/>
        <v>#N/A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S-osztó profil "H" 2m ezüst</v>
      </c>
      <c r="C1138" s="185" t="e">
        <f t="shared" si="35"/>
        <v>#N/A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</v>
      </c>
      <c r="C1139" s="185" t="e">
        <f t="shared" si="35"/>
        <v>#N/A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Görgő 1401 vasalathoz lemezzel és csavarokkal</v>
      </c>
      <c r="C1140" s="185" t="e">
        <f t="shared" si="35"/>
        <v>#N/A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S-támfalas kefe alacsony 6,2x5mm szürke</v>
      </c>
      <c r="C1142" s="185" t="e">
        <f t="shared" si="35"/>
        <v>#N/A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takaró profil 2,5m ezüst</v>
      </c>
      <c r="C1143" s="185" t="e">
        <f t="shared" si="35"/>
        <v>#N/A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takaró profil 3m ezüst</v>
      </c>
      <c r="C1144" s="185" t="e">
        <f t="shared" si="35"/>
        <v>#N/A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alsó vezető profil 2,5m ezüst</v>
      </c>
      <c r="C1145" s="185" t="e">
        <f t="shared" si="35"/>
        <v>#N/A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alsó vezető profil 3m ezüst</v>
      </c>
      <c r="C1146" s="185" t="e">
        <f t="shared" si="35"/>
        <v>#N/A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S-fék S06N/S06NN-hez</v>
      </c>
      <c r="C1147" s="185" t="e">
        <f t="shared" si="35"/>
        <v>#N/A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alsó görgő</v>
      </c>
      <c r="C1148" s="185" t="e">
        <f t="shared" si="35"/>
        <v>#N/A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alsó elox 2m</v>
      </c>
      <c r="C1149" s="185" t="e">
        <f t="shared" si="35"/>
        <v>#N/A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S-szett S30 alsó sín</v>
      </c>
      <c r="C1150" s="185" t="e">
        <f t="shared" si="35"/>
        <v>#N/A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reklám ajtóminta Blue 10 (8 db)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Pax XL fogantyú profil 2,7m matt fehér</v>
      </c>
      <c r="C1159" s="185" t="e">
        <f t="shared" si="37"/>
        <v>#N/A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IC-felső vezető profil EU 10mm 2m pezsgő</v>
      </c>
      <c r="C1160" s="185" t="e">
        <f t="shared" si="37"/>
        <v>#N/A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IC-alsó takaró profil EU 10mm 2m pezsgő</v>
      </c>
      <c r="C1161" s="185" t="e">
        <f t="shared" si="37"/>
        <v>#N/A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IC-ütközés csillapító univerzális EU - 2db</v>
      </c>
      <c r="C1162" s="185" t="e">
        <f t="shared" si="37"/>
        <v>#N/A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nemesacél 2,7m</v>
      </c>
      <c r="C1163" s="185" t="e">
        <f t="shared" si="37"/>
        <v>#N/A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felső vezető profil 2,5m nemesacél</v>
      </c>
      <c r="C1164" s="185" t="e">
        <f t="shared" si="37"/>
        <v>#N/A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alsó profil 2,5m elox nemesacél</v>
      </c>
      <c r="C1165" s="185" t="e">
        <f t="shared" si="37"/>
        <v>#N/A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takaró profil alu 2,5m nemesacél</v>
      </c>
      <c r="C1166" s="185" t="e">
        <f t="shared" si="37"/>
        <v>#N/A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felső és középső profil 2,5m nemesacél</v>
      </c>
      <c r="C1167" s="185" t="e">
        <f t="shared" si="37"/>
        <v>#N/A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alsó profil 4/18mm 2,5m nemesacél</v>
      </c>
      <c r="C1168" s="185" t="e">
        <f t="shared" si="37"/>
        <v>#N/A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felső vezetés 1,7m matt fehér</v>
      </c>
      <c r="C1169" s="185">
        <f t="shared" si="37"/>
        <v>7081.1186600000001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SEVROLL05172  Gemini felső vezetés 2,35m matt fehér</v>
      </c>
      <c r="C1170" s="185">
        <f t="shared" si="37"/>
        <v>9795.3803599999992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felső vezetés 4,05m matt fehér</v>
      </c>
      <c r="C1171" s="185">
        <f t="shared" si="37"/>
        <v>16876.499019999999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Gemini felső vezetés 6m matt fehér</v>
      </c>
      <c r="C1172" s="185">
        <f t="shared" si="37"/>
        <v>24999.252980000001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szögletvas Mini 17x11mm 1,7m matt fehér</v>
      </c>
      <c r="C1173" s="185">
        <f t="shared" si="37"/>
        <v>1221.9187199999999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SEVROLL05137 szögletvas Mini 17x11mm 2,35m matt fehér</v>
      </c>
      <c r="C1174" s="185">
        <f t="shared" si="37"/>
        <v>1692.6579200000001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takaró profil Elegant II 6m matt fehér</v>
      </c>
      <c r="C1175" s="185">
        <f t="shared" si="37"/>
        <v>4527.1084300000002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takaró profil Elegant II 1,7m matt fehér</v>
      </c>
      <c r="C1176" s="185">
        <f t="shared" si="37"/>
        <v>1282.0129099999999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Capitol takaró profil 2m ezüst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Capitol alsó vezetés 2m ezüst</v>
      </c>
      <c r="C1179" s="185" t="e">
        <f t="shared" si="37"/>
        <v>#N/A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Capitol felső vezetés 2m ezüst</v>
      </c>
      <c r="C1180" s="185" t="e">
        <f t="shared" si="37"/>
        <v>#N/A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Capitol vasalat szett két ajtóra</v>
      </c>
      <c r="C1181" s="185" t="e">
        <f t="shared" si="37"/>
        <v>#N/A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Capitol vasalat szett belső ajtóra</v>
      </c>
      <c r="C1182" s="185" t="e">
        <f t="shared" si="37"/>
        <v>#N/A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05164takaró profil Elegant II 2,35m matt fehér</v>
      </c>
      <c r="C1183" s="185">
        <f t="shared" si="37"/>
        <v>1772.7836600000001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 04438 takaró profil Elegant II 3m matt fehér</v>
      </c>
      <c r="C1184" s="185">
        <f t="shared" si="37"/>
        <v>2263.5540099999998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takaró profil Elegant II 4,05m matt fehér</v>
      </c>
      <c r="C1185" s="185">
        <f t="shared" si="37"/>
        <v>3054.79655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profil 18mm 2,7m fényes fekete</v>
      </c>
      <c r="C1186" s="185">
        <f t="shared" si="37"/>
        <v>6329.9391800000003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fogantyú profil 2,7m fényes fekete</v>
      </c>
      <c r="C1187" s="185">
        <f t="shared" si="37"/>
        <v>8313.0529399999996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összekötő profil H10 3m fényes fekete</v>
      </c>
      <c r="C1188" s="185">
        <f t="shared" si="37"/>
        <v>6089.5615900000003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alsó vezetés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takaró profil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szett Fold 2 ajtószárnyra balos</v>
      </c>
      <c r="C1195" s="185" t="e">
        <f t="shared" si="37"/>
        <v>#N/A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szett Fold 2 ajtószárnyra jobbos</v>
      </c>
      <c r="C1196" s="185" t="e">
        <f t="shared" si="37"/>
        <v>#N/A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takaró profil Elegant II 3m fehér matt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alsó profil 4/18mm 1,5m ezüst</v>
      </c>
      <c r="C1200" s="185" t="e">
        <f t="shared" si="37"/>
        <v>#N/A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alsó vezető profil 1,5m ezüst</v>
      </c>
      <c r="C1201" s="185" t="e">
        <f t="shared" si="37"/>
        <v>#N/A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IC-felső vezetés EU 2m  pezsgő</v>
      </c>
      <c r="C1202" s="185" t="e">
        <f t="shared" si="37"/>
        <v>#N/A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IC-alsó vezetés EU 2m  pezsgő</v>
      </c>
      <c r="C1203" s="185" t="e">
        <f t="shared" si="37"/>
        <v>#N/A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IC-felső vez.prof EU 10mm 4m  pezsgő</v>
      </c>
      <c r="C1204" s="185" t="e">
        <f t="shared" si="37"/>
        <v>#N/A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IC-alsó takaró profil EU 10mm 4m pezsgő</v>
      </c>
      <c r="C1205" s="185" t="e">
        <f t="shared" si="37"/>
        <v>#N/A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vasalat szett  ZSE-18 PLUS PRINCE</v>
      </c>
      <c r="C1211" s="185" t="e">
        <f t="shared" si="37"/>
        <v>#N/A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fogantyú profil 2,7m matt fekete</v>
      </c>
      <c r="C1212" s="185">
        <f t="shared" si="37"/>
        <v>6299.8920699999999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összekötő profil H30 3m matt fekete</v>
      </c>
      <c r="C1213" s="185">
        <f t="shared" si="37"/>
        <v>11267.692220000001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távtartó profil 04 3m matt fekete</v>
      </c>
      <c r="C1214" s="185">
        <f t="shared" si="37"/>
        <v>1792.81519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felső vezető profil 2,35m matt fekete</v>
      </c>
      <c r="C1215" s="185">
        <f t="shared" si="37"/>
        <v>5588.7752499999997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felső vezető profil 3m matt fekete</v>
      </c>
      <c r="C1216" s="185">
        <f t="shared" si="37"/>
        <v>7131.1972999999998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Pax felső vezető profil 3m matt fekete</v>
      </c>
      <c r="C1217" s="185">
        <f t="shared" si="37"/>
        <v>11297.73933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Gemini felső vezetés 6m matt fekete</v>
      </c>
      <c r="C1218" s="185">
        <f t="shared" si="37"/>
        <v>24999.252980000001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Elegant II alsó vezetés 6m matt fekete</v>
      </c>
      <c r="C1219" s="185">
        <f t="shared" si="37"/>
        <v>14592.91346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takaró profil Elegant II 1,7m matt fekete</v>
      </c>
      <c r="C1220" s="185">
        <f t="shared" ref="C1220:C1283" si="39">IF($A$2=1,H1220,IF($A$2=2,I1220,IF($A$2=3,J1220,IF($A$2=4,K1220,IF($A$2&gt;4,O1220,"zadat jazyk")))))</f>
        <v>1282.0129099999999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takaró profil Elegant II 6m matt fekete</v>
      </c>
      <c r="C1221" s="185">
        <f t="shared" si="39"/>
        <v>4527.1084300000002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összekötő profil H10 3m matt fekete</v>
      </c>
      <c r="C1222" s="185">
        <f t="shared" si="39"/>
        <v>6089.5615900000003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felső vezető profil 4m ezüst</v>
      </c>
      <c r="C1223" s="185" t="e">
        <f t="shared" si="39"/>
        <v>#N/A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S-vasalat szett S45 elülső ajtó</v>
      </c>
      <c r="C1224" s="185" t="e">
        <f t="shared" si="39"/>
        <v>#N/A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S-vasalat szett S45 hátsó ajtó</v>
      </c>
      <c r="C1225" s="185" t="e">
        <f t="shared" si="39"/>
        <v>#N/A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csillapító S45 szetthez elülső</v>
      </c>
      <c r="C1226" s="185" t="e">
        <f t="shared" si="39"/>
        <v>#N/A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csillapító S45 szetthez hátsó</v>
      </c>
      <c r="C1227" s="185" t="e">
        <f t="shared" si="39"/>
        <v>#N/A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szett Big 2m csillapítás nélkül, 40-45mm fekete matt</v>
      </c>
      <c r="C1240" s="185" t="e">
        <f t="shared" si="39"/>
        <v>#N/A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szett Big 2m csillapítással, 40-45mm fekete matt</v>
      </c>
      <c r="C1241" s="185" t="e">
        <f t="shared" si="39"/>
        <v>#N/A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szett Big 3m csillapítás nélkül, 40-45mm fekete matt</v>
      </c>
      <c r="C1242" s="185" t="e">
        <f t="shared" si="39"/>
        <v>#N/A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szett Big 3m csillapítással, 40-45mm fekete matt</v>
      </c>
      <c r="C1243" s="185" t="e">
        <f t="shared" si="39"/>
        <v>#N/A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szett Simple 2m csillapítás nélkül, 40-45mm fekete matt</v>
      </c>
      <c r="C1244" s="185" t="e">
        <f t="shared" si="39"/>
        <v>#N/A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szett Simple 2m csillapítással, 40-45mm fekete matt</v>
      </c>
      <c r="C1245" s="185" t="e">
        <f t="shared" si="39"/>
        <v>#N/A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szett Simple 3m csillapítás nélkül, 40-45mm fekete matt</v>
      </c>
      <c r="C1246" s="185" t="e">
        <f t="shared" si="39"/>
        <v>#N/A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szett Simple 3m csillapítással, 40-45mm fekete matt</v>
      </c>
      <c r="C1247" s="185" t="e">
        <f t="shared" si="39"/>
        <v>#N/A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szett Square 2m csillapítás nélkül, 40-45mm fekete matt</v>
      </c>
      <c r="C1248" s="185" t="e">
        <f t="shared" si="39"/>
        <v>#N/A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szett Square 2m csillapítással, 40-45mm fekete matt</v>
      </c>
      <c r="C1249" s="185" t="e">
        <f t="shared" si="39"/>
        <v>#N/A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szett Square 3m csillapítás nélkül, 40-45mm fekete matt</v>
      </c>
      <c r="C1250" s="185" t="e">
        <f t="shared" si="39"/>
        <v>#N/A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szett Square 3m csillapítással, 40-45mm fekete matt</v>
      </c>
      <c r="C1251" s="185" t="e">
        <f t="shared" si="39"/>
        <v>#N/A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Csúsztatható belső szerelvények 1399 40kg 2x csappantyú</v>
      </c>
      <c r="C1252" s="185" t="e">
        <f t="shared" si="39"/>
        <v>#N/A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Beltéri tolóajtó vasalat 1399/155 40kg 2x csillapító</v>
      </c>
      <c r="C1253" s="185" t="e">
        <f t="shared" si="39"/>
        <v>#N/A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felső vezető profil 1,8m oliva</v>
      </c>
      <c r="C1254" s="185" t="e">
        <f t="shared" si="39"/>
        <v>#N/A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alsó takaró profil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Beltéri tolóajtó vasalat 1399/190 40kg 2x csillapító</v>
      </c>
      <c r="C1256" s="185" t="e">
        <f t="shared" si="39"/>
        <v>#N/A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Beltéri tolóajtó vasalat 1399/230 40kg 2x csillapító</v>
      </c>
      <c r="C1257" s="185" t="e">
        <f t="shared" si="39"/>
        <v>#N/A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Beltéri tolóajtó vasalat 1399/280 40kg 2x csillapító</v>
      </c>
      <c r="C1258" s="185" t="e">
        <f t="shared" si="39"/>
        <v>#N/A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Beltéri tolóajtó vasalat 1399/330 40kg 2x csillapító</v>
      </c>
      <c r="C1259" s="185" t="e">
        <f t="shared" si="39"/>
        <v>#N/A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 t="e">
        <f t="shared" si="39"/>
        <v>#N/A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vasalat szett két ajtóra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szögletvas Mini 17x11mm 4,05m ezüst</v>
      </c>
      <c r="C1262" s="185" t="e">
        <f t="shared" si="39"/>
        <v>#N/A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11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 Micra V vasalat szett 1 ajtószárnyra</v>
      </c>
      <c r="C1265" s="185">
        <f t="shared" si="39"/>
        <v>2443.8374100000001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alsó vezető profil 2m világos bronz</v>
      </c>
      <c r="C1270" s="185" t="e">
        <f t="shared" si="39"/>
        <v>#N/A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takaró profil 2m világos bronz</v>
      </c>
      <c r="C1271" s="185" t="e">
        <f t="shared" si="39"/>
        <v>#N/A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felső vezető profil 2m világos bronz</v>
      </c>
      <c r="C1272" s="185" t="e">
        <f t="shared" si="39"/>
        <v>#N/A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felső és középső profil 4/18mm 2m világos bronz</v>
      </c>
      <c r="C1273" s="185" t="e">
        <f t="shared" si="39"/>
        <v>#N/A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alsó profil 4/18mm 2m világos bronz</v>
      </c>
      <c r="C1274" s="185" t="e">
        <f t="shared" si="39"/>
        <v>#N/A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összekötő csavarok ajtókhoz 30-40mm,fekete matt</v>
      </c>
      <c r="C1275" s="185" t="e">
        <f t="shared" si="39"/>
        <v>#N/A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összekötő csavarok ajtókhoz 40-45mm,fekete matt</v>
      </c>
      <c r="C1276" s="185" t="e">
        <f t="shared" si="39"/>
        <v>#N/A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WC-záró foglalt/szabad jelzővel lamináltra 18 mm-es</v>
      </c>
      <c r="C1278" s="185" t="e">
        <f t="shared" si="39"/>
        <v>#N/A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Állítható láb VS-U univerzális 18 mm</v>
      </c>
      <c r="C1279" s="185" t="e">
        <f t="shared" si="39"/>
        <v>#N/A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18 mm, hossz 2 m</v>
      </c>
      <c r="C1280" s="185" t="e">
        <f t="shared" si="39"/>
        <v>#N/A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13 mm, hossz 2 m</v>
      </c>
      <c r="C1281" s="185" t="e">
        <f t="shared" si="39"/>
        <v>#N/A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25 mm, hossz 2 m</v>
      </c>
      <c r="C1282" s="185" t="e">
        <f t="shared" si="39"/>
        <v>#N/A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 t="e">
        <f t="shared" si="39"/>
        <v>#N/A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S-vasalat szett S80</v>
      </c>
      <c r="C1284" s="185" t="e">
        <f t="shared" ref="C1284:C1347" si="41">IF($A$2=1,H1284,IF($A$2=2,I1284,IF($A$2=3,J1284,IF($A$2=4,K1284,IF($A$2&gt;4,O1284,"zadat jazyk")))))</f>
        <v>#N/A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felső profil alu 2m</v>
      </c>
      <c r="C1285" s="185" t="e">
        <f t="shared" si="41"/>
        <v>#N/A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típus S1 1200-1399mm</v>
      </c>
      <c r="C1286" s="185" t="e">
        <f t="shared" si="41"/>
        <v>#N/A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típus S2 1400-1599mm</v>
      </c>
      <c r="C1287" s="185" t="e">
        <f t="shared" si="41"/>
        <v>#N/A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típus S3 1600-1799mm</v>
      </c>
      <c r="C1288" s="185" t="e">
        <f t="shared" si="41"/>
        <v>#N/A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típus S4 1800-1999mm</v>
      </c>
      <c r="C1289" s="185" t="e">
        <f t="shared" si="41"/>
        <v>#N/A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típus S5 2000-2199mm</v>
      </c>
      <c r="C1290" s="185" t="e">
        <f t="shared" si="41"/>
        <v>#N/A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típus S6 2200-2400mm</v>
      </c>
      <c r="C1291" s="185" t="e">
        <f t="shared" si="41"/>
        <v>#N/A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típus S1 1200-1399mm</v>
      </c>
      <c r="C1292" s="185" t="e">
        <f t="shared" si="41"/>
        <v>#N/A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típus S2 1400-1599mm</v>
      </c>
      <c r="C1293" s="185" t="e">
        <f t="shared" si="41"/>
        <v>#N/A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típus S5 2000-2199mm</v>
      </c>
      <c r="C1294" s="185" t="e">
        <f t="shared" si="41"/>
        <v>#N/A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típus S6 2200-2400mm</v>
      </c>
      <c r="C1295" s="185" t="e">
        <f t="shared" si="41"/>
        <v>#N/A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típus S 1200-1799mm vasalat szett</v>
      </c>
      <c r="C1296" s="185" t="e">
        <f t="shared" si="41"/>
        <v>#N/A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típus M 1800-2199mm vasalat szett</v>
      </c>
      <c r="C1297" s="185" t="e">
        <f t="shared" si="41"/>
        <v>#N/A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típus L 2200-2400mm vasalat szett</v>
      </c>
      <c r="C1298" s="185" t="e">
        <f t="shared" si="41"/>
        <v>#N/A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Típus S 1200-1799mm vezetés szett</v>
      </c>
      <c r="C1299" s="185" t="e">
        <f t="shared" si="41"/>
        <v>#N/A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Típus M 1800-2199mm vezetés szett</v>
      </c>
      <c r="C1300" s="185" t="e">
        <f t="shared" si="41"/>
        <v>#N/A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Típus L 2200-2400mm vezetés szett</v>
      </c>
      <c r="C1301" s="185" t="e">
        <f t="shared" si="41"/>
        <v>#N/A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IC-alsó takaró profil 10mm 3m ezüst</v>
      </c>
      <c r="C1302" s="185" t="e">
        <f t="shared" si="41"/>
        <v>#N/A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IC-összekötő H profil 10 mm 3m ezüst</v>
      </c>
      <c r="C1303" s="185" t="e">
        <f t="shared" si="41"/>
        <v>#N/A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IC-fogantyú profil Harmony 10mm 2,7m pezsgő</v>
      </c>
      <c r="C1304" s="185" t="e">
        <f t="shared" si="41"/>
        <v>#N/A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IC-felső vezető profil 10mm 2m pezsgő</v>
      </c>
      <c r="C1305" s="185" t="e">
        <f t="shared" si="41"/>
        <v>#N/A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IC-felső vezető profil 10mm 3m pezsgő</v>
      </c>
      <c r="C1306" s="185" t="e">
        <f t="shared" si="41"/>
        <v>#N/A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IC-felső vezető profil 10mm 5m pezsgő</v>
      </c>
      <c r="C1307" s="185" t="e">
        <f t="shared" si="41"/>
        <v>#N/A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IC-alsó takaró profil 10mm 2m pezsgő</v>
      </c>
      <c r="C1308" s="185" t="e">
        <f t="shared" si="41"/>
        <v>#N/A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IC-alsó takaró profil 10mm 3m pezsgő</v>
      </c>
      <c r="C1309" s="185" t="e">
        <f t="shared" si="41"/>
        <v>#N/A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IC-alsó takaró profil 10mm 5m pezsgő</v>
      </c>
      <c r="C1310" s="185" t="e">
        <f t="shared" si="41"/>
        <v>#N/A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IC-összekötő H profil 10mm 3m pezsgő</v>
      </c>
      <c r="C1311" s="185" t="e">
        <f t="shared" si="41"/>
        <v>#N/A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IC-összekötő H profil 10mm 5m pezsgő</v>
      </c>
      <c r="C1312" s="185" t="e">
        <f t="shared" si="41"/>
        <v>#N/A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S-Kétoldalú csillapító Slidix Centro T40 S55/S60/S65</v>
      </c>
      <c r="C1314" s="185" t="e">
        <f t="shared" si="41"/>
        <v>#N/A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világos bronz 2,7m</v>
      </c>
      <c r="C1315" s="185" t="e">
        <f t="shared" si="41"/>
        <v>#N/A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felső vezető profil világos bronz 3m</v>
      </c>
      <c r="C1316" s="185" t="e">
        <f t="shared" si="41"/>
        <v>#N/A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alsó vezető profil 3m világos bronz</v>
      </c>
      <c r="C1317" s="185" t="e">
        <f t="shared" si="41"/>
        <v>#N/A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felső és közép profil 3,5m világos bronz</v>
      </c>
      <c r="C1318" s="185" t="e">
        <f t="shared" si="41"/>
        <v>#N/A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alsó profil 4/18mm 3,5m világos bronz</v>
      </c>
      <c r="C1319" s="185" t="e">
        <f t="shared" si="41"/>
        <v>#N/A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takaró profil maszk 3m világos bronz</v>
      </c>
      <c r="C1320" s="185" t="e">
        <f t="shared" si="41"/>
        <v>#N/A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S-S45-felső vezető profil 3m ezüst</v>
      </c>
      <c r="C1321" s="185" t="e">
        <f t="shared" si="41"/>
        <v>#N/A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alsó elox 3m</v>
      </c>
      <c r="C1322" s="185" t="e">
        <f t="shared" si="41"/>
        <v>#N/A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felső vezetés 2m (hozzáadni 85355)</v>
      </c>
      <c r="C1323" s="185" t="e">
        <f t="shared" si="41"/>
        <v>#N/A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felső vezetés 3m (hozzáadni 85355)</v>
      </c>
      <c r="C1324" s="185" t="e">
        <f t="shared" si="41"/>
        <v>#N/A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alsó profil alu nyers 2m</v>
      </c>
      <c r="C1325" s="185" t="e">
        <f t="shared" si="41"/>
        <v>#N/A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alsó profil alu nyers 2,5m</v>
      </c>
      <c r="C1326" s="185" t="e">
        <f t="shared" si="41"/>
        <v>#N/A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alsó profil alu nyers 3m</v>
      </c>
      <c r="C1327" s="185" t="e">
        <f t="shared" si="41"/>
        <v>#N/A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vasalat szett balos</v>
      </c>
      <c r="C1328" s="185" t="e">
        <f t="shared" si="41"/>
        <v>#N/A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vasalat szett jobbos</v>
      </c>
      <c r="C1329" s="185" t="e">
        <f t="shared" si="41"/>
        <v>#N/A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alsó profil alu nyers 5m</v>
      </c>
      <c r="C1330" s="185" t="e">
        <f t="shared" si="41"/>
        <v>#N/A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fék műanyag</v>
      </c>
      <c r="C1331" s="185" t="e">
        <f t="shared" si="41"/>
        <v>#N/A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fék jobbos</v>
      </c>
      <c r="C1332" s="185" t="e">
        <f t="shared" si="41"/>
        <v>#N/A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ütköző</v>
      </c>
      <c r="C1333" s="185" t="e">
        <f t="shared" si="41"/>
        <v>#N/A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fogantyú profil 2,7m</v>
      </c>
      <c r="C1334" s="185" t="e">
        <f t="shared" si="41"/>
        <v>#N/A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reklám sablon görgőkhöz 18 mm-es RL-hez</v>
      </c>
      <c r="C1335" s="185">
        <f t="shared" si="41"/>
        <v>0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reklám sablon görgőkhöz 18 mm-es RL-hez</v>
      </c>
      <c r="C1336" s="185" t="e">
        <f t="shared" si="41"/>
        <v>#N/A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takaró profil Elegant II 3m matt fekete</v>
      </c>
      <c r="C1339" s="185">
        <f t="shared" si="41"/>
        <v>2263.5540099999998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alsó profil 4m ezüst elo.</v>
      </c>
      <c r="C1345" s="185" t="e">
        <f t="shared" si="41"/>
        <v>#N/A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takaró profil 4m ezüst</v>
      </c>
      <c r="C1346" s="185" t="e">
        <f t="shared" si="41"/>
        <v>#N/A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S-S05-felső vezető profil 6m ezüst</v>
      </c>
      <c r="C1347" s="185" t="e">
        <f t="shared" si="41"/>
        <v>#N/A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ezüst elox 3,2m</v>
      </c>
      <c r="C1348" s="185" t="e">
        <f t="shared" ref="C1348:C1411" si="43">IF($A$2=1,H1348,IF($A$2=2,I1348,IF($A$2=3,J1348,IF($A$2=4,K1348,IF($A$2&gt;4,O1348,"zadat jazyk")))))</f>
        <v>#N/A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alsó profil 6m ezüst</v>
      </c>
      <c r="C1349" s="185" t="e">
        <f t="shared" si="43"/>
        <v>#N/A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takaró profil 6m ezüst</v>
      </c>
      <c r="C1350" s="185" t="e">
        <f t="shared" si="43"/>
        <v>#N/A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felső és középső profil 4/18mm 4m ezüst</v>
      </c>
      <c r="C1351" s="185" t="e">
        <f t="shared" si="43"/>
        <v>#N/A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alsó profil 4/18mm 4m ezüst</v>
      </c>
      <c r="C1352" s="185" t="e">
        <f t="shared" si="43"/>
        <v>#N/A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S-S05-1-felső vez.profil egyutas 2m ez.</v>
      </c>
      <c r="C1358" s="185" t="e">
        <f t="shared" si="43"/>
        <v>#N/A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alsó profil egyu.2m elox ez.</v>
      </c>
      <c r="C1359" s="185" t="e">
        <f t="shared" si="43"/>
        <v>#N/A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profil függőleges Standard bronz 2,75m</v>
      </c>
      <c r="C1362" s="185" t="e">
        <f t="shared" si="43"/>
        <v>#N/A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IC-sín felső bronz 2m</v>
      </c>
      <c r="C1363" s="185" t="e">
        <f t="shared" si="43"/>
        <v>#N/A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IC-alsó sín bronz 2m</v>
      </c>
      <c r="C1364" s="185" t="e">
        <f t="shared" si="43"/>
        <v>#N/A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profil vízszintes bronz 2,4m</v>
      </c>
      <c r="C1365" s="185" t="e">
        <f t="shared" si="43"/>
        <v>#N/A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szett Simple fekete matt</v>
      </c>
      <c r="C1368" s="185" t="e">
        <f t="shared" si="43"/>
        <v>#N/A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szett Square fekete matt</v>
      </c>
      <c r="C1369" s="185" t="e">
        <f t="shared" si="43"/>
        <v>#N/A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szett Big fekete matt</v>
      </c>
      <c r="C1370" s="185" t="e">
        <f t="shared" si="43"/>
        <v>#N/A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csillapító készlet</v>
      </c>
      <c r="C1371" s="185" t="e">
        <f t="shared" si="43"/>
        <v>#N/A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felső sín 2m,fekete matt</v>
      </c>
      <c r="C1372" s="185" t="e">
        <f t="shared" si="43"/>
        <v>#N/A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felső sín 3m,fekete matt</v>
      </c>
      <c r="C1373" s="185" t="e">
        <f t="shared" si="43"/>
        <v>#N/A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összekötő anyag a falra,fekete matt</v>
      </c>
      <c r="C1375" s="185" t="e">
        <f t="shared" si="43"/>
        <v>#N/A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készlet Simple 2m csillapítással, 30-40mm, fekete matt</v>
      </c>
      <c r="C1376" s="185" t="e">
        <f t="shared" si="43"/>
        <v>#N/A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készlet Simple 3m csillapítással, 30-40mm fekete matt</v>
      </c>
      <c r="C1377" s="185" t="e">
        <f t="shared" si="43"/>
        <v>#N/A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készlet 2m Square csillapítással, 30-40mm fekete matt</v>
      </c>
      <c r="C1378" s="185" t="e">
        <f t="shared" si="43"/>
        <v>#N/A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Square 3m-es csillapítással, 30-40mm fekete matt</v>
      </c>
      <c r="C1379" s="185" t="e">
        <f t="shared" si="43"/>
        <v>#N/A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készlet Big 2m csillapítással, 30-40mm fekete matt</v>
      </c>
      <c r="C1380" s="185" t="e">
        <f t="shared" si="43"/>
        <v>#N/A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készlet Big 3m csillapítással, 30-40mm fekete matt</v>
      </c>
      <c r="C1381" s="185" t="e">
        <f t="shared" si="43"/>
        <v>#N/A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készlet Simple 2m csillapítás nélkül, 30-40mm fekete matt</v>
      </c>
      <c r="C1382" s="185" t="e">
        <f t="shared" si="43"/>
        <v>#N/A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készlet Simple 3m csillapítás nélkül, 30-40mm fekete matt</v>
      </c>
      <c r="C1383" s="185" t="e">
        <f t="shared" si="43"/>
        <v>#N/A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készlet Big 2m csillapítás nélkül, 30-40mm fekete matt</v>
      </c>
      <c r="C1384" s="185" t="e">
        <f t="shared" si="43"/>
        <v>#N/A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készlet Big 3m csillapítás nélkül, 30-40mm fekete matt</v>
      </c>
      <c r="C1385" s="185" t="e">
        <f t="shared" si="43"/>
        <v>#N/A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készlet 2m Square csillapítás nélkül, 30-40mm fekete matt</v>
      </c>
      <c r="C1386" s="185" t="e">
        <f t="shared" si="43"/>
        <v>#N/A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Square 3m-es csillapítás nélkül, 30-40mm fekete matt</v>
      </c>
      <c r="C1387" s="185" t="e">
        <f t="shared" si="43"/>
        <v>#N/A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IC-fogantyú profil Comfort 10mm 2,7m ezüst</v>
      </c>
      <c r="C1388" s="185" t="e">
        <f t="shared" si="43"/>
        <v>#N/A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IC-Fog.profil Harmony 10 mm 2,6m ezüst</v>
      </c>
      <c r="C1389" s="185" t="e">
        <f t="shared" si="43"/>
        <v>#N/A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IC-felső vez.prof.10 mm 3m  ezüst</v>
      </c>
      <c r="C1390" s="185" t="e">
        <f t="shared" si="43"/>
        <v>#N/A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IC-felső vezető profil 10mm 5m ezüst</v>
      </c>
      <c r="C1391" s="185" t="e">
        <f t="shared" si="43"/>
        <v>#N/A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 04299-A takaró profil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 04301-A  takaró profil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felső vezetés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felső vezetés 2,5m oliva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 04468-M Blue felső vezetés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felső vezetés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alsó vezetés 2,5m oliva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alsó vezetés 1,5m oliva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 04492-M Blue-V alsó vezetés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 04493-M Blue-V alsó vezetés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alsó vezetés 2m oliva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alsó vezetés 2,5m oliva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alsó vezetés 3m oliva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alsó vezetés 4m oliva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alsó vezetés 6m oliva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SEVROLL04278 Elegant II alsó vezetés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fogantyú profil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felső vezető profil 1,8m oliva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fogantyú profil 3m oliva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felső vezetés 1,8m oliva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fogantyú profil 100mm matt fekete</v>
      </c>
      <c r="C1412" s="185">
        <f t="shared" ref="C1412:C1475" si="45">IF($A$2=1,H1412,IF($A$2=2,I1412,IF($A$2=3,J1412,IF($A$2=4,K1412,IF($A$2&gt;4,O1412,"zadat jazyk")))))</f>
        <v>137.10875999999999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fogantyú profil 100mmm matt fehér</v>
      </c>
      <c r="C1413" s="185">
        <f t="shared" si="45"/>
        <v>135.30548999999999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fogantyú profil 100mm fényes fekete</v>
      </c>
      <c r="C1414" s="185">
        <f t="shared" si="45"/>
        <v>161.44137000000001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fogantyú profil 100mm ezüst</v>
      </c>
      <c r="C1415" s="185">
        <f t="shared" si="45"/>
        <v>103.94232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fogantyú profil 100mm oliva</v>
      </c>
      <c r="C1416" s="185">
        <f t="shared" si="45"/>
        <v>198.83131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 t="e">
        <f t="shared" si="45"/>
        <v>#N/A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11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 t="e">
        <f t="shared" si="45"/>
        <v>#N/A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 t="e">
        <f t="shared" si="45"/>
        <v>#N/A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alsó vezetés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fogantyú profil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"U" profil rétegelt lemezhez 18mm 3m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szögletvas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03581 felső vezető profil Simple/Blue 3m (10 mm-es rétegeltlemez) oliva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fogantyú profil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SEVROLL04920-A  Lynx fogantyú profil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takaró profil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vasalat szett 80kg (H80)</v>
      </c>
      <c r="C1429" s="185" t="e">
        <f t="shared" si="45"/>
        <v>#N/A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 acél</v>
      </c>
      <c r="C1431" s="185" t="e">
        <f t="shared" si="45"/>
        <v>#N/A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acél</v>
      </c>
      <c r="C1432" s="185" t="e">
        <f t="shared" si="45"/>
        <v>#N/A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S-rögzítőfék S40/S40H/S80</v>
      </c>
      <c r="C1433" s="185" t="e">
        <f t="shared" si="45"/>
        <v>#N/A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vasalat szett</v>
      </c>
      <c r="C1434" s="185" t="e">
        <f t="shared" si="45"/>
        <v>#N/A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alsó profil elox alu 3m</v>
      </c>
      <c r="C1435" s="185" t="e">
        <f t="shared" si="45"/>
        <v>#N/A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vasalat szett (H60)</v>
      </c>
      <c r="C1436" s="185" t="e">
        <f t="shared" si="45"/>
        <v>#N/A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fogantyú profil alu elox 2,7m</v>
      </c>
      <c r="C1437" s="185" t="e">
        <f t="shared" si="45"/>
        <v>#N/A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vezető profil alu elox 1,25m</v>
      </c>
      <c r="C1438" s="185" t="e">
        <f t="shared" si="45"/>
        <v>#N/A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vasalat szett 1 ajtószárny</v>
      </c>
      <c r="C1439" s="185" t="e">
        <f t="shared" si="45"/>
        <v>#N/A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felső profil bemarásra alu nyers 3m</v>
      </c>
      <c r="C1440" s="185" t="e">
        <f t="shared" si="45"/>
        <v>#N/A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felső profil bemarásra alu nyers 2m</v>
      </c>
      <c r="C1441" s="185" t="e">
        <f t="shared" si="45"/>
        <v>#N/A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vezető profil alu elox 3m</v>
      </c>
      <c r="C1442" s="185" t="e">
        <f t="shared" si="45"/>
        <v>#N/A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vezető profil alu elox 2m</v>
      </c>
      <c r="C1443" s="185" t="e">
        <f t="shared" si="45"/>
        <v>#N/A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vasalat szett alu ajtókra 25 kg</v>
      </c>
      <c r="C1444" s="185" t="e">
        <f t="shared" si="45"/>
        <v>#N/A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vasalat szett alu ajtókra 35 kg</v>
      </c>
      <c r="C1445" s="185" t="e">
        <f t="shared" si="45"/>
        <v>#N/A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vasalat szett (H40HARD)</v>
      </c>
      <c r="C1446" s="185" t="e">
        <f t="shared" si="45"/>
        <v>#N/A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 vezető fekete/barna</v>
      </c>
      <c r="C1447" s="185" t="e">
        <f t="shared" si="45"/>
        <v>#N/A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vezető</v>
      </c>
      <c r="C1448" s="185" t="e">
        <f t="shared" si="45"/>
        <v>#N/A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S-fék S36 (H60) a S36 szett része</v>
      </c>
      <c r="C1449" s="185" t="e">
        <f t="shared" si="45"/>
        <v>#N/A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rögzítő elem falra (H40/80)</v>
      </c>
      <c r="C1450" s="185" t="e">
        <f t="shared" si="45"/>
        <v>#N/A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felső profil alu elox 2m</v>
      </c>
      <c r="C1451" s="185" t="e">
        <f t="shared" si="45"/>
        <v>#N/A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felső profil alu elox 3m</v>
      </c>
      <c r="C1452" s="185" t="e">
        <f t="shared" si="45"/>
        <v>#N/A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felső profil alu nyers 2m</v>
      </c>
      <c r="C1453" s="185" t="e">
        <f t="shared" si="45"/>
        <v>#N/A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S-SALU 03(S03) vez.profil alu elox 2,5m</v>
      </c>
      <c r="C1454" s="185" t="e">
        <f t="shared" si="45"/>
        <v>#N/A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tartó elem felső vezetéshez HPL-re 16 - 25mm</v>
      </c>
      <c r="C1459" s="185">
        <f t="shared" si="45"/>
        <v>883.74058000000002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Takaró léc  Sevroll  Herkules II 1,8m ezüst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vasalat szett 1 ajtószárny 20kg</v>
      </c>
      <c r="C1467" s="185" t="e">
        <f t="shared" si="45"/>
        <v>#N/A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vasalat szett 1 ajtószárny 30kg</v>
      </c>
      <c r="C1468" s="185" t="e">
        <f t="shared" si="45"/>
        <v>#N/A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S-S20/30 profil szimpla acél 2m</v>
      </c>
      <c r="C1469" s="185" t="e">
        <f t="shared" si="45"/>
        <v>#N/A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 profil szimpla acél 3m</v>
      </c>
      <c r="C1470" s="185" t="e">
        <f t="shared" si="45"/>
        <v>#N/A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S-S20/30 alu elox profil dupla 2m</v>
      </c>
      <c r="C1471" s="185" t="e">
        <f t="shared" si="45"/>
        <v>#N/A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S-S20/30 alu elox profil dupla 3m</v>
      </c>
      <c r="C1472" s="185" t="e">
        <f t="shared" si="45"/>
        <v>#N/A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S-S20/S30 fék műanyag</v>
      </c>
      <c r="C1473" s="185" t="e">
        <f t="shared" si="45"/>
        <v>#N/A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ütköző+2x csavar</v>
      </c>
      <c r="C1474" s="185" t="e">
        <f t="shared" si="45"/>
        <v>#N/A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TOLÓ AJT.INT.VAS1400-PROFIL FELSŐ 6M</v>
      </c>
      <c r="C1477" s="185" t="e">
        <f t="shared" si="47"/>
        <v>#N/A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alsó profil alu elox (H35/60) 2m</v>
      </c>
      <c r="C1478" s="185" t="e">
        <f t="shared" si="47"/>
        <v>#N/A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Fék vasalathoz 1390/1391</v>
      </c>
      <c r="C1479" s="185" t="e">
        <f t="shared" si="47"/>
        <v>#N/A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FELSŐ PROFIL ALU 1390 / 330cm</v>
      </c>
      <c r="C1480" s="185" t="e">
        <f t="shared" si="47"/>
        <v>#N/A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felső 1,2m</v>
      </c>
      <c r="C1481" s="185" t="e">
        <f t="shared" si="47"/>
        <v>#N/A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felső 2m</v>
      </c>
      <c r="C1482" s="185" t="e">
        <f t="shared" si="47"/>
        <v>#N/A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felső 3m</v>
      </c>
      <c r="C1483" s="185" t="e">
        <f t="shared" si="47"/>
        <v>#N/A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alsó 1,2m</v>
      </c>
      <c r="C1484" s="185" t="e">
        <f t="shared" si="47"/>
        <v>#N/A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alsó 2m</v>
      </c>
      <c r="C1485" s="185" t="e">
        <f t="shared" si="47"/>
        <v>#N/A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alsó 3m</v>
      </c>
      <c r="C1486" s="185" t="e">
        <f t="shared" si="47"/>
        <v>#N/A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alsó 1,2m</v>
      </c>
      <c r="C1487" s="185" t="e">
        <f t="shared" si="47"/>
        <v>#N/A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alsó 2m</v>
      </c>
      <c r="C1488" s="185" t="e">
        <f t="shared" si="47"/>
        <v>#N/A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alsó 3m</v>
      </c>
      <c r="C1489" s="185" t="e">
        <f t="shared" si="47"/>
        <v>#N/A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felső szán tolóajtó vasalat</v>
      </c>
      <c r="C1490" s="185" t="e">
        <f t="shared" si="47"/>
        <v>#N/A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felső szán tolóajtó vasalat</v>
      </c>
      <c r="C1491" s="185" t="e">
        <f t="shared" si="47"/>
        <v>#N/A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vasalat szett 1 ajtóra</v>
      </c>
      <c r="C1492" s="185" t="e">
        <f t="shared" si="47"/>
        <v>#N/A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S-U profil 18 mm-es rétegelt lemezre 3m ezüst</v>
      </c>
      <c r="C1493" s="185" t="e">
        <f t="shared" si="47"/>
        <v>#N/A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K-Felső rögzítő kapocs T 18 mm</v>
      </c>
      <c r="C1494" s="185" t="e">
        <f t="shared" si="47"/>
        <v>#N/A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Pánt balos (csavarok) H70 18 mm</v>
      </c>
      <c r="C1495" s="185" t="e">
        <f t="shared" si="47"/>
        <v>#N/A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Pánt jobbos (csavarok) H70 18 mm</v>
      </c>
      <c r="C1496" s="185" t="e">
        <f t="shared" si="47"/>
        <v>#N/A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fogantyú profil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alsó sín RAL9005  alu 3m</v>
      </c>
      <c r="C1505" s="185" t="e">
        <f t="shared" si="47"/>
        <v>#N/A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felső sín RAL9005 matt alumínium 3m</v>
      </c>
      <c r="C1506" s="185" t="e">
        <f t="shared" si="47"/>
        <v>#N/A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A SEVROLL szivacs apró karcolások eltávolításához az ezüst alumínium profilokban</v>
      </c>
      <c r="C1507" s="185" t="e">
        <f t="shared" si="47"/>
        <v>#N/A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készlet, 2 ajtószárny, teljes csillapításs, 8 csillapító, 80kg</v>
      </c>
      <c r="C1508" s="185" t="e">
        <f t="shared" si="47"/>
        <v>#N/A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készlet 3 ajtószárnyra teljes csillapítással, 10 csillapító</v>
      </c>
      <c r="C1509" s="185" t="e">
        <f t="shared" si="47"/>
        <v>#N/A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felső vezetés eloxált 2m</v>
      </c>
      <c r="C1510" s="185" t="e">
        <f t="shared" si="47"/>
        <v>#N/A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felső vezetés eloxált 3m</v>
      </c>
      <c r="C1511" s="185" t="e">
        <f t="shared" si="47"/>
        <v>#N/A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felső vezetés eloxált 4m</v>
      </c>
      <c r="C1512" s="185" t="e">
        <f t="shared" si="47"/>
        <v>#N/A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alsó vezető eloxált 2m</v>
      </c>
      <c r="C1513" s="185" t="e">
        <f t="shared" si="47"/>
        <v>#N/A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alsó vezető eloxált 3m</v>
      </c>
      <c r="C1514" s="185" t="e">
        <f t="shared" si="47"/>
        <v>#N/A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alsó vezető eloxált 4m</v>
      </c>
      <c r="C1515" s="185" t="e">
        <f t="shared" si="47"/>
        <v>#N/A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takaró profil eloxált 2m</v>
      </c>
      <c r="C1516" s="185" t="e">
        <f t="shared" si="47"/>
        <v>#N/A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Az S-kefe ütközője alacsony, ragasztó nélkül, 4,8x5mm szürke</v>
      </c>
      <c r="C1519" s="185" t="e">
        <f t="shared" si="47"/>
        <v>#N/A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vasalat szett 1 ajtóra</v>
      </c>
      <c r="C1520" s="185" t="e">
        <f t="shared" si="47"/>
        <v>#N/A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S-osztó profil "T" 3m elox ezüst</v>
      </c>
      <c r="C1521" s="185" t="e">
        <f t="shared" si="47"/>
        <v>#N/A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felső vezetés 2,35m matt fekete</v>
      </c>
      <c r="C1522" s="185">
        <f t="shared" si="47"/>
        <v>9795.3803599999992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SEVROLL04835  Gemini felső vezetés 4,05m matt fekete</v>
      </c>
      <c r="C1523" s="185">
        <f t="shared" si="47"/>
        <v>16876.499019999999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alsó vezetés 4,05m matt fekete</v>
      </c>
      <c r="C1524" s="185">
        <f t="shared" si="47"/>
        <v>9875.5060699999995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 Elegant II alsó vezetés 2,35m matt fekete</v>
      </c>
      <c r="C1525" s="185">
        <f t="shared" si="47"/>
        <v>5739.01116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takaró profil Elegant II 2,35m matt fekete</v>
      </c>
      <c r="C1526" s="185">
        <f t="shared" si="47"/>
        <v>1772.7836600000001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takaró profil Elegant II 4,05m matt fekete</v>
      </c>
      <c r="C1527" s="185">
        <f t="shared" si="47"/>
        <v>3054.79655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szögletvas Mini 17x11mm 2,35m matt fekete</v>
      </c>
      <c r="C1528" s="185">
        <f t="shared" si="47"/>
        <v>1692.6579200000001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összekötő profil H18 3m matt fekete</v>
      </c>
      <c r="C1529" s="185">
        <f t="shared" si="47"/>
        <v>5999.42029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támfalas kefe becsúsztatható 14x4mm fekete</v>
      </c>
      <c r="C1530" s="185">
        <f t="shared" si="47"/>
        <v>149.05521999999999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támfalas kefe becsúsztatható 4,8x4mm fekete</v>
      </c>
      <c r="C1531" s="185">
        <f t="shared" si="47"/>
        <v>61.50817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04 ezüst elox 2,7m</v>
      </c>
      <c r="C1537" s="185" t="e">
        <f t="shared" si="47"/>
        <v>#N/A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szett szétnyíló ajtóhoz</v>
      </c>
      <c r="C1538" s="185">
        <f t="shared" si="47"/>
        <v>11718.3999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vasalat szett alu keretre</v>
      </c>
      <c r="C1540" s="185" t="e">
        <f t="shared" ref="C1540:C1603" si="49">IF($A$2=1,H1540,IF($A$2=2,I1540,IF($A$2=3,J1540,IF($A$2=4,K1540,IF($A$2&gt;4,O1540,"zadat jazyk")))))</f>
        <v>#N/A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IC-fogantyú profil Exclusive 10mm 2,7m ezüst</v>
      </c>
      <c r="C1541" s="185" t="e">
        <f t="shared" si="49"/>
        <v>#N/A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IC-felső vezető profil 10mm 2m ezüst</v>
      </c>
      <c r="C1542" s="185" t="e">
        <f t="shared" si="49"/>
        <v>#N/A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IC-alsó takaró profil 10mm 2m ezüst</v>
      </c>
      <c r="C1543" s="185" t="e">
        <f t="shared" si="49"/>
        <v>#N/A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szerelvénykészlet 2 szárnyhoz 40 kg-os csillapítással</v>
      </c>
      <c r="C1544" s="185" t="e">
        <f t="shared" si="49"/>
        <v>#N/A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szerelvénykészlet 3 szárnyhoz 40 kg-os csillapítással</v>
      </c>
      <c r="C1545" s="185" t="e">
        <f t="shared" si="49"/>
        <v>#N/A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alsó/felső vezetés elox 1,5m</v>
      </c>
      <c r="C1546" s="185" t="e">
        <f t="shared" si="49"/>
        <v>#N/A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alsó/felső vezetés elox 2m</v>
      </c>
      <c r="C1547" s="185" t="e">
        <f t="shared" si="49"/>
        <v>#N/A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alsó/felső vezetés elox 3m</v>
      </c>
      <c r="C1548" s="185" t="e">
        <f t="shared" si="49"/>
        <v>#N/A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közép csillapító kétoldalú</v>
      </c>
      <c r="C1549" s="185" t="e">
        <f t="shared" si="49"/>
        <v>#N/A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vasalat szett 1 ajtószárnyra 30kg</v>
      </c>
      <c r="C1550" s="185" t="e">
        <f t="shared" si="49"/>
        <v>#N/A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alsó/felső vezetés 1,2m elox</v>
      </c>
      <c r="C1551" s="185" t="e">
        <f t="shared" si="49"/>
        <v>#N/A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alsó/felső vezetés 2m elox</v>
      </c>
      <c r="C1552" s="185" t="e">
        <f t="shared" si="49"/>
        <v>#N/A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alsó/felső vezetés 3m elox</v>
      </c>
      <c r="C1553" s="185" t="e">
        <f t="shared" si="49"/>
        <v>#N/A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alsó/felső vezetés dupla 1,2m elox</v>
      </c>
      <c r="C1554" s="185" t="e">
        <f t="shared" si="49"/>
        <v>#N/A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alsó/felső vezetés dupla 2m elox</v>
      </c>
      <c r="C1555" s="185" t="e">
        <f t="shared" si="49"/>
        <v>#N/A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alsó/felső vezetés dupla 3m elox</v>
      </c>
      <c r="C1556" s="185" t="e">
        <f t="shared" si="49"/>
        <v>#N/A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végzáró dupla vezetésre 3m</v>
      </c>
      <c r="C1557" s="185" t="e">
        <f t="shared" si="49"/>
        <v>#N/A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szett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 Akciós szett 20x fog.profil Era ezüst + 10x alsó és felső görgő szett</v>
      </c>
      <c r="C1569" s="185" t="e">
        <f t="shared" si="49"/>
        <v>#N/A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S-S05-1-felső vezető profil szimpla 1,5m ezüst</v>
      </c>
      <c r="C1570" s="185" t="e">
        <f t="shared" si="49"/>
        <v>#N/A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alsó profil szimpla 1,5m elox ezüst</v>
      </c>
      <c r="C1571" s="185" t="e">
        <f t="shared" si="49"/>
        <v>#N/A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Comfort alsó vezető 2,35m ezüst</v>
      </c>
      <c r="C1574" s="185" t="e">
        <f t="shared" si="49"/>
        <v>#N/A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Comfort alsó vezető 3m ezüst</v>
      </c>
      <c r="C1575" s="185">
        <f t="shared" si="49"/>
        <v>10366.276830000001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Comfort alsó vezető 4,05 m ezüst</v>
      </c>
      <c r="C1576" s="185" t="e">
        <f t="shared" si="49"/>
        <v>#N/A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minta ajtó Era/Rekord osztott</v>
      </c>
      <c r="C1577" s="185" t="e">
        <f t="shared" si="49"/>
        <v>#N/A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minta ajtó Era/Rekord tömör</v>
      </c>
      <c r="C1578" s="185" t="e">
        <f t="shared" si="49"/>
        <v>#N/A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minták Fogantyúk 2021 - kiegészítő készlet 180245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alsó takaró profil Simple/Blue 2m (18 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 t="e">
        <f t="shared" si="49"/>
        <v>#N/A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 t="e">
        <f t="shared" si="49"/>
        <v>#N/A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 t="e">
        <f t="shared" si="49"/>
        <v>#N/A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 t="e">
        <f t="shared" si="49"/>
        <v>#N/A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vasalat szett</v>
      </c>
      <c r="C1588" s="185" t="e">
        <f t="shared" si="49"/>
        <v>#N/A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S-osztó profil "T" 2m ezüst</v>
      </c>
      <c r="C1589" s="185" t="e">
        <f t="shared" si="49"/>
        <v>#N/A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S-szögletvas SALU 07 2m ezüst</v>
      </c>
      <c r="C1590" s="185" t="e">
        <f t="shared" si="49"/>
        <v>#N/A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S-szögletvas SALU 07 3m ezüst</v>
      </c>
      <c r="C1591" s="185" t="e">
        <f t="shared" si="49"/>
        <v>#N/A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alsó vezető profil alu 3,5m</v>
      </c>
      <c r="C1592" s="185" t="e">
        <f t="shared" si="49"/>
        <v>#N/A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 S12 2,7m ezüst elox</v>
      </c>
      <c r="C1593" s="185" t="e">
        <f t="shared" si="49"/>
        <v>#N/A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felső profil alu 3m</v>
      </c>
      <c r="C1594" s="185" t="e">
        <f t="shared" si="49"/>
        <v>#N/A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alsó profil 3,5m világos bronz</v>
      </c>
      <c r="C1599" s="185" t="e">
        <f t="shared" si="49"/>
        <v>#N/A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takaró profil 3,5m világos bronz</v>
      </c>
      <c r="C1600" s="185" t="e">
        <f t="shared" si="49"/>
        <v>#N/A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felső vezető profil 3,5m világos bronz</v>
      </c>
      <c r="C1601" s="185" t="e">
        <f t="shared" si="49"/>
        <v>#N/A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S-osztó profil "T" 2m világos bronz</v>
      </c>
      <c r="C1602" s="185" t="e">
        <f t="shared" si="49"/>
        <v>#N/A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S-osztó profil "T" 3m világos bronz</v>
      </c>
      <c r="C1603" s="185" t="e">
        <f t="shared" si="49"/>
        <v>#N/A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világos bronz 2,7m</v>
      </c>
      <c r="C1604" s="185" t="e">
        <f t="shared" ref="C1604:C1667" si="51">IF($A$2=1,H1604,IF($A$2=2,I1604,IF($A$2=3,J1604,IF($A$2=4,K1604,IF($A$2&gt;4,O1604,"zadat jazyk")))))</f>
        <v>#N/A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alsó profil 2m elox ezüst</v>
      </c>
      <c r="C1611" s="185" t="e">
        <f t="shared" si="51"/>
        <v>#N/A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profile "U" Mini 36 2x18mm ezüst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feszítő merevítő 2690mm</v>
      </c>
      <c r="C1618" s="185" t="e">
        <f t="shared" si="51"/>
        <v>#N/A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SEVROLL05176  Gemini felső vezetés 2,35m fényes fekete</v>
      </c>
      <c r="C1619" s="185">
        <f t="shared" si="51"/>
        <v>9795.3803599999992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alsó vezetés 2,35m fényes fekete</v>
      </c>
      <c r="C1620" s="185">
        <f t="shared" si="51"/>
        <v>5739.01116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SEVROLL05168  takaró profil Elegant II 2,35m fényes fekete</v>
      </c>
      <c r="C1621" s="185">
        <f t="shared" si="51"/>
        <v>1772.7836600000001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Central csillapító - két oldalas + alsó ütközésgátló</v>
      </c>
      <c r="C1622" s="185" t="e">
        <f t="shared" si="51"/>
        <v>#N/A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szett 3 szárnyhoz teljes csillapítás, középső csillapító</v>
      </c>
      <c r="C1623" s="185" t="e">
        <f t="shared" si="51"/>
        <v>#N/A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- beltéri ajtó vasalat</v>
      </c>
      <c r="C1624" s="185" t="e">
        <f t="shared" si="51"/>
        <v>#N/A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görgő beltéri ajtóhoz Simple 18 Inter/Galaxy 35/50kg</v>
      </c>
      <c r="C1625" s="185">
        <f t="shared" si="51"/>
        <v>3260.0208299999999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beltéri ajtó csillapító Simple 18 Galaxy 50kg</v>
      </c>
      <c r="C1626" s="185">
        <f t="shared" si="51"/>
        <v>9583.67533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tolóajtó szett Simple 18 Inter/ Galaxy 50 kg 2x fék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Takaró profil Herkules II 2m ezüst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Takaró profil Herkules Wood 2m ezüst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Herkules Wood takaró profil készlet ezüst, 2x végzáró és kefe 2,01m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ezüst elox 2,7m</v>
      </c>
      <c r="C1635" s="185" t="e">
        <f t="shared" si="51"/>
        <v>#N/A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felső és középső profil 4/18mm 6m ezüst</v>
      </c>
      <c r="C1636" s="185" t="e">
        <f t="shared" si="51"/>
        <v>#N/A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S-S65-alsó profil 4/18mm ezüst 6m</v>
      </c>
      <c r="C1637" s="185" t="e">
        <f t="shared" si="51"/>
        <v>#N/A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S-S06N-alsó vezető profil 6m ezüst</v>
      </c>
      <c r="C1638" s="185" t="e">
        <f t="shared" si="51"/>
        <v>#N/A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feszítő merevítő 2390mm</v>
      </c>
      <c r="C1642" s="185" t="e">
        <f t="shared" si="51"/>
        <v>#N/A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szett folyamatos nyitásra 1,35m</v>
      </c>
      <c r="C1643" s="185" t="e">
        <f t="shared" si="51"/>
        <v>#N/A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 ütköző alsó S06N/NN</v>
      </c>
      <c r="C1645" s="185" t="e">
        <f t="shared" si="51"/>
        <v>#N/A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Sx csavar torx 4x40</v>
      </c>
      <c r="C1646" s="185" t="e">
        <f t="shared" si="51"/>
        <v>#N/A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S-fék finomállító felső S05</v>
      </c>
      <c r="C1647" s="185" t="e">
        <f t="shared" si="51"/>
        <v>#N/A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IC-fogantyú profil Berlin 10mm EU pezsgő 5,3m</v>
      </c>
      <c r="C1648" s="185" t="e">
        <f t="shared" si="51"/>
        <v>#N/A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Pax XL fogantyú profil 2,7m ezüst</v>
      </c>
      <c r="C1649" s="185">
        <f t="shared" si="51"/>
        <v>9024.1693500000001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Pax XL felső vezető profil 3m ezüst</v>
      </c>
      <c r="C1650" s="185" t="e">
        <f t="shared" si="51"/>
        <v>#N/A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Pax XL alsó takaró profil 3m ezüst</v>
      </c>
      <c r="C1651" s="185">
        <f t="shared" si="51"/>
        <v>11197.582060000001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tömítés Pax XL profilhoz</v>
      </c>
      <c r="C1652" s="185">
        <f t="shared" si="51"/>
        <v>235.78189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rödzítőlécek 18mm 2,70m olajzöld új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Kék top line 6m olíva új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alsó kötél 6m olíva új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felső vezető profil Simple/Blue 3m (lamino 18 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alsó takaró profil Simple/Blue 3m (lamino 18 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felső sín tartó laminóhoz 25 - 45mm</v>
      </c>
      <c r="C1666" s="185" t="e">
        <f t="shared" si="51"/>
        <v>#N/A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 t="e">
        <f t="shared" si="51"/>
        <v>#N/A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 t="e">
        <f t="shared" ref="C1668:C1731" si="53">IF($A$2=1,H1668,IF($A$2=2,I1668,IF($A$2=3,J1668,IF($A$2=4,K1668,IF($A$2&gt;4,O1668,"zadat jazyk")))))</f>
        <v>#N/A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 Akciós szett 20x fog.profil Rekord ezüst + 10x alsó és felső görgő szett</v>
      </c>
      <c r="C1669" s="185" t="e">
        <f t="shared" si="53"/>
        <v>#N/A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IC-takaró profil alsó sín 3m alu</v>
      </c>
      <c r="C1670" s="185" t="e">
        <f t="shared" si="53"/>
        <v>#N/A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S-S45-felső vezető profil 2m ezüst</v>
      </c>
      <c r="C1671" s="185" t="e">
        <f t="shared" si="53"/>
        <v>#N/A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felső vezető profil 2m nemesacél</v>
      </c>
      <c r="C1672" s="185" t="e">
        <f t="shared" si="53"/>
        <v>#N/A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alsó profil 2m elox nemesacél</v>
      </c>
      <c r="C1673" s="185" t="e">
        <f t="shared" si="53"/>
        <v>#N/A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takaró profil alu 2m nemesacél</v>
      </c>
      <c r="C1674" s="185" t="e">
        <f t="shared" si="53"/>
        <v>#N/A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"U" profil rétegelt lemezhez 18mm 3m fényes fekete</v>
      </c>
      <c r="C1677" s="185">
        <f t="shared" si="53"/>
        <v>2383.7428100000002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szögletvas Mini 17x11mm 1,7m fényes fekete</v>
      </c>
      <c r="C1678" s="185">
        <f t="shared" si="53"/>
        <v>1221.9187199999999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szögletvas Mini 17x11mm 2,35m fényes fekete</v>
      </c>
      <c r="C1679" s="185">
        <f t="shared" si="53"/>
        <v>1692.6579200000001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SEVROLL05140 szögletvas Mini 17x11mm 3m fényes fekete</v>
      </c>
      <c r="C1680" s="185">
        <f t="shared" si="53"/>
        <v>2163.3967400000001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alsó takaró profil 1,7m 10mm fényes fekete</v>
      </c>
      <c r="C1681" s="185">
        <f t="shared" si="53"/>
        <v>7331.51181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alsó takaró profil 2,35m 10mm fényes fekete</v>
      </c>
      <c r="C1682" s="185">
        <f t="shared" si="53"/>
        <v>10125.899240000001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alsó takaró profil 3m 10mm fényes fekete</v>
      </c>
      <c r="C1683" s="185">
        <f t="shared" si="53"/>
        <v>12960.35014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felső vezető profil 1,7m fényes fekete</v>
      </c>
      <c r="C1684" s="185">
        <f t="shared" si="53"/>
        <v>4036.3376800000001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felső vezető profil 2,35m fényes fekete</v>
      </c>
      <c r="C1685" s="185">
        <f t="shared" si="53"/>
        <v>5588.7752499999997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felső vezető profil 3m fényes fekete</v>
      </c>
      <c r="C1686" s="185">
        <f t="shared" si="53"/>
        <v>7131.1972999999998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összekötő profil H18 3m fényes fekete</v>
      </c>
      <c r="C1687" s="185">
        <f t="shared" si="53"/>
        <v>5999.42029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alsó vezetés 1,7m fényes fekete</v>
      </c>
      <c r="C1688" s="185">
        <f t="shared" si="53"/>
        <v>4176.5579900000002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alsó vezetés 3m fényes fekete</v>
      </c>
      <c r="C1689" s="185">
        <f t="shared" si="53"/>
        <v>7291.4487600000002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SEVROLL05158  Elegant II alsó vezetés 4,05m fényes fekete</v>
      </c>
      <c r="C1690" s="185">
        <f t="shared" si="53"/>
        <v>9875.5060699999995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Elegant II alsó vezetés 6m fényes fekete</v>
      </c>
      <c r="C1691" s="185">
        <f t="shared" si="53"/>
        <v>14592.91346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felső vezetés 1,7m fényes fekete</v>
      </c>
      <c r="C1692" s="185">
        <f t="shared" si="53"/>
        <v>7081.1186600000001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SEVROLL05177  Gemini felső vezetés 3m fényes fekete</v>
      </c>
      <c r="C1693" s="185">
        <f t="shared" si="53"/>
        <v>12499.626490000001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felső vezetés 4,05m fényes fekete</v>
      </c>
      <c r="C1694" s="185">
        <f t="shared" si="53"/>
        <v>16876.499019999999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Gemini felső vezetés 6m fényes fekete</v>
      </c>
      <c r="C1695" s="185">
        <f t="shared" si="53"/>
        <v>24999.252980000001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takaró profil Elegant II 1,7m fényes fekete</v>
      </c>
      <c r="C1696" s="185">
        <f t="shared" si="53"/>
        <v>1282.0129099999999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SEVROLL05169  takaró profil Elegant II 3m fényes fekete</v>
      </c>
      <c r="C1697" s="185">
        <f t="shared" si="53"/>
        <v>2263.5540099999998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SEVROLL05170 takaró profil Elegant II 4,05m fényes fekete</v>
      </c>
      <c r="C1698" s="185">
        <f t="shared" si="53"/>
        <v>3054.79655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takaró profil Elegant II 6m fényes fekete</v>
      </c>
      <c r="C1699" s="185">
        <f t="shared" si="53"/>
        <v>4527.1084300000002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vasalat szett harmonikaajtóra 25kg</v>
      </c>
      <c r="C1700" s="185" t="e">
        <f t="shared" si="53"/>
        <v>#N/A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alsó profil 2m</v>
      </c>
      <c r="C1701" s="185" t="e">
        <f t="shared" si="53"/>
        <v>#N/A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Single felső vezetés 6m oliva</v>
      </c>
      <c r="C1704" s="185" t="e">
        <f t="shared" si="53"/>
        <v>#N/A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alsó görgő WD10 V Duo 60kg (2 db)</v>
      </c>
      <c r="C1705" s="185">
        <f t="shared" si="53"/>
        <v>7339.9954900000002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Felső rögzítő kapocs T 12 mm</v>
      </c>
      <c r="C1709" s="185" t="e">
        <f t="shared" si="53"/>
        <v>#N/A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Állítható láb VS-U univerzális 12 mm</v>
      </c>
      <c r="C1710" s="185" t="e">
        <f t="shared" si="53"/>
        <v>#N/A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felső vezetés egyszerű 2,35mm ezüst</v>
      </c>
      <c r="C1715" s="185">
        <f t="shared" si="53"/>
        <v>10055.789489999999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felső és középső profil 2m nemesacél</v>
      </c>
      <c r="C1716" s="185" t="e">
        <f t="shared" si="53"/>
        <v>#N/A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alsó profil 4/18mm 2m nemesacél</v>
      </c>
      <c r="C1717" s="185" t="e">
        <f t="shared" si="53"/>
        <v>#N/A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 - támfalas kefe alacsony 12,8x4,6mm fehér</v>
      </c>
      <c r="C1718" s="185" t="e">
        <f t="shared" si="53"/>
        <v>#N/A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vasalat szett a belső ajtókhoz Simple  ZPI-18 50kg fék+csillapítás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vasalat szett a belső ajtókhoz Simple  ZPI-18 50kg 2x csillapítással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IC-felső sín 5m pezsgő</v>
      </c>
      <c r="C1721" s="185" t="e">
        <f t="shared" si="53"/>
        <v>#N/A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IC-alsó sín 5m pezsgő</v>
      </c>
      <c r="C1722" s="185" t="e">
        <f t="shared" si="53"/>
        <v>#N/A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IC-felső vezetés 2m ezüst</v>
      </c>
      <c r="C1723" s="185" t="e">
        <f t="shared" si="53"/>
        <v>#N/A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IC-felső sín 3m ezüst</v>
      </c>
      <c r="C1724" s="185" t="e">
        <f t="shared" si="53"/>
        <v>#N/A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IC-felső vezetés 5m ezüst</v>
      </c>
      <c r="C1725" s="185" t="e">
        <f t="shared" si="53"/>
        <v>#N/A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IC-alsó vezetés 2m ezüst</v>
      </c>
      <c r="C1726" s="185" t="e">
        <f t="shared" si="53"/>
        <v>#N/A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IC-alsó vezetés 3m ezüst</v>
      </c>
      <c r="C1727" s="185" t="e">
        <f t="shared" si="53"/>
        <v>#N/A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IC-alsó vezetés 5m ezüst</v>
      </c>
      <c r="C1728" s="185" t="e">
        <f t="shared" si="53"/>
        <v>#N/A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IC-görgő szett Comfort 1 ajtószárny</v>
      </c>
      <c r="C1729" s="185" t="e">
        <f t="shared" si="53"/>
        <v>#N/A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IC-görgő szett szimmetrikus 1 ajtószárny</v>
      </c>
      <c r="C1730" s="185" t="e">
        <f t="shared" si="53"/>
        <v>#N/A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IC-finomállító</v>
      </c>
      <c r="C1731" s="185" t="e">
        <f t="shared" si="53"/>
        <v>#N/A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IC-kapocs támfalas keféhez</v>
      </c>
      <c r="C1732" s="185" t="e">
        <f t="shared" ref="C1732:C1795" si="55">IF($A$2=1,H1732,IF($A$2=2,I1732,IF($A$2=3,J1732,IF($A$2=4,K1732,IF($A$2&gt;4,O1732,"zadat jazyk")))))</f>
        <v>#N/A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IC-ütközés csillapító jobbos</v>
      </c>
      <c r="C1733" s="185" t="e">
        <f t="shared" si="55"/>
        <v>#N/A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IC-ütközés csillapító balos</v>
      </c>
      <c r="C1734" s="185" t="e">
        <f t="shared" si="55"/>
        <v>#N/A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IC-tömítés üvegre 12/6,4mm</v>
      </c>
      <c r="C1735" s="185" t="e">
        <f t="shared" si="55"/>
        <v>#N/A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Herkules plus felső vezetés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görgő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ajtópánt 25kg</v>
      </c>
      <c r="C1738" s="185">
        <f t="shared" si="55"/>
        <v>1021.2114800000001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S-vasalat szett S25</v>
      </c>
      <c r="C1739" s="185" t="e">
        <f t="shared" si="55"/>
        <v>#N/A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S-felső profil S25 1m</v>
      </c>
      <c r="C1740" s="185" t="e">
        <f t="shared" si="55"/>
        <v>#N/A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S-alsó profil S25 1m</v>
      </c>
      <c r="C1741" s="185" t="e">
        <f t="shared" si="55"/>
        <v>#N/A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IC-takaró profil öntapadó 3m pezsgő</v>
      </c>
      <c r="C1742" s="185" t="e">
        <f t="shared" si="55"/>
        <v>#N/A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IC-kétoldalas ragasztószalag átlátszó 14mm/50m</v>
      </c>
      <c r="C1743" s="185" t="e">
        <f t="shared" si="55"/>
        <v>#N/A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S-fogantyú S70a 2,7m (profil H09)</v>
      </c>
      <c r="C1746" s="185" t="e">
        <f t="shared" si="55"/>
        <v>#N/A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S-fogantyú S70c 2,7m (profil H11)</v>
      </c>
      <c r="C1747" s="185" t="e">
        <f t="shared" si="55"/>
        <v>#N/A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S-fék S35</v>
      </c>
      <c r="C1748" s="185" t="e">
        <f t="shared" si="55"/>
        <v>#N/A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csillapító</v>
      </c>
      <c r="C1750" s="185" t="e">
        <f t="shared" si="55"/>
        <v>#N/A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SALU 09 ez.elox 2,7m (S09)</v>
      </c>
      <c r="C1751" s="185" t="e">
        <f t="shared" si="55"/>
        <v>#N/A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acél</v>
      </c>
      <c r="C1753" s="185" t="e">
        <f t="shared" si="55"/>
        <v>#N/A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IC-felső vezetés EU 6m pezsgő</v>
      </c>
      <c r="C1760" s="185" t="e">
        <f t="shared" si="55"/>
        <v>#N/A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IC-alsó vezetés EU 6m pezsgő</v>
      </c>
      <c r="C1761" s="185" t="e">
        <f t="shared" si="55"/>
        <v>#N/A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IC-felső vezető profil EU 10mm 6m pezsgő</v>
      </c>
      <c r="C1762" s="185" t="e">
        <f t="shared" si="55"/>
        <v>#N/A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IC-alsó takaró profil EU 10mm 6m pezsgő</v>
      </c>
      <c r="C1763" s="185" t="e">
        <f t="shared" si="55"/>
        <v>#N/A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beltéri tolóajtó vasalat szett  60 kg-ig</v>
      </c>
      <c r="C1764" s="185" t="e">
        <f t="shared" si="55"/>
        <v>#N/A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beltéri tolóajtó vasalat 100kg felső vezető 2m anod</v>
      </c>
      <c r="C1765" s="185" t="e">
        <f t="shared" si="55"/>
        <v>#N/A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</v>
      </c>
      <c r="C1766" s="185" t="e">
        <f t="shared" si="55"/>
        <v>#N/A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dupla profil 3,5m</v>
      </c>
      <c r="C1767" s="185" t="e">
        <f t="shared" si="55"/>
        <v>#N/A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alsó vezető profil 2m ezüst</v>
      </c>
      <c r="C1783" s="185" t="e">
        <f t="shared" si="55"/>
        <v>#N/A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takaró profil (maszk) 2m ezüst</v>
      </c>
      <c r="C1784" s="185" t="e">
        <f t="shared" si="55"/>
        <v>#N/A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takaró profil 3,5m ezüst elox</v>
      </c>
      <c r="C1785" s="185" t="e">
        <f t="shared" si="55"/>
        <v>#N/A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03889Gemini felső vezetés 3m fehér matt</v>
      </c>
      <c r="C1786" s="185">
        <f t="shared" si="55"/>
        <v>12499.626490000001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S-vasalat szett S55B</v>
      </c>
      <c r="C1790" s="185" t="e">
        <f t="shared" si="55"/>
        <v>#N/A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IC-tömítés üvegre 10/6mm</v>
      </c>
      <c r="C1791" s="185" t="e">
        <f t="shared" si="55"/>
        <v>#N/A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IC-felső vezetés szimpla 2m pezsgő</v>
      </c>
      <c r="C1792" s="185" t="e">
        <f t="shared" si="55"/>
        <v>#N/A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IC-felső vezetés szimpla 3m pezsgő</v>
      </c>
      <c r="C1793" s="185" t="e">
        <f t="shared" si="55"/>
        <v>#N/A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IC-felső vezetés szimpla 5m pezsgő</v>
      </c>
      <c r="C1794" s="185" t="e">
        <f t="shared" si="55"/>
        <v>#N/A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IC-alsó vezetés szimpla 2m pezsgő</v>
      </c>
      <c r="C1795" s="185" t="e">
        <f t="shared" si="55"/>
        <v>#N/A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IC-alsó vezetés szimpla 3m pezsgő</v>
      </c>
      <c r="C1796" s="185" t="e">
        <f t="shared" ref="C1796:C1859" si="57">IF($A$2=1,H1796,IF($A$2=2,I1796,IF($A$2=3,J1796,IF($A$2=4,K1796,IF($A$2&gt;4,O1796,"zadat jazyk")))))</f>
        <v>#N/A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IC-alsó vezetés szimpla 5m pezsgő</v>
      </c>
      <c r="C1797" s="185" t="e">
        <f t="shared" si="57"/>
        <v>#N/A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IC-fog.profil Comfort 12mm 2,6m pezsgő</v>
      </c>
      <c r="C1798" s="185" t="e">
        <f t="shared" si="57"/>
        <v>#N/A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T60)-csillapító</v>
      </c>
      <c r="C1805" s="185" t="e">
        <f t="shared" si="57"/>
        <v>#N/A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ezüst elox 2,7m</v>
      </c>
      <c r="C1811" s="185" t="e">
        <f t="shared" si="57"/>
        <v>#N/A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vezető profil alu elox 1,2m</v>
      </c>
      <c r="C1812" s="185" t="e">
        <f t="shared" si="57"/>
        <v>#N/A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alsó elosztó 3m ezüst</v>
      </c>
      <c r="C1813" s="185" t="e">
        <f t="shared" si="57"/>
        <v>#N/A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S-tömítés üveghez 4mm</v>
      </c>
      <c r="C1814" s="185" t="e">
        <f t="shared" si="57"/>
        <v>#N/A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ezüst</v>
      </c>
      <c r="C1815" s="185" t="e">
        <f t="shared" si="57"/>
        <v>#N/A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feszítő merevítő 1860mm</v>
      </c>
      <c r="C1816" s="185" t="e">
        <f t="shared" si="57"/>
        <v>#N/A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S-tömítés üveghez 6mm</v>
      </c>
      <c r="C1818" s="185" t="e">
        <f t="shared" si="57"/>
        <v>#N/A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alsó elosztó 3,5m ezüst</v>
      </c>
      <c r="C1819" s="185" t="e">
        <f t="shared" si="57"/>
        <v>#N/A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felső a középre elosztó 3,5m ezüst</v>
      </c>
      <c r="C1820" s="185" t="e">
        <f t="shared" si="57"/>
        <v>#N/A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 S17 2,7m ezüst</v>
      </c>
      <c r="C1821" s="185" t="e">
        <f t="shared" si="57"/>
        <v>#N/A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csillapító</v>
      </c>
      <c r="C1822" s="185" t="e">
        <f t="shared" si="57"/>
        <v>#N/A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csillapító</v>
      </c>
      <c r="C1823" s="185" t="e">
        <f t="shared" si="57"/>
        <v>#N/A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csillapító</v>
      </c>
      <c r="C1824" s="185" t="e">
        <f t="shared" si="57"/>
        <v>#N/A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teherbírása 170 kg</v>
      </c>
      <c r="C1825" s="185" t="e">
        <f t="shared" si="57"/>
        <v>#N/A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csillapító</v>
      </c>
      <c r="C1826" s="185" t="e">
        <f t="shared" si="57"/>
        <v>#N/A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alsó takaró profil Simple/Blue 2m (RL: 18 mm) fényes fehér</v>
      </c>
      <c r="C1827" s="185">
        <f t="shared" si="57"/>
        <v>6775.10851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alsó takaró profil Simple/Blue 3m (RL: 18 mm) fényes fehér</v>
      </c>
      <c r="C1828" s="185">
        <f t="shared" si="57"/>
        <v>10152.490110000001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felső vezető profil Simple/Blue 2m (RL: 18mm) fehér fényes</v>
      </c>
      <c r="C1829" s="185">
        <f t="shared" si="57"/>
        <v>3458.7641899999999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SEVROLL04943  felső vezető profil Simple/Blue 3m (RL: 18mm) fehér fényes</v>
      </c>
      <c r="C1830" s="185">
        <f t="shared" si="57"/>
        <v>5188.1462799999999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összekötő profil Simple/Blue H21 3m (RL:18mm) fényes fehér</v>
      </c>
      <c r="C1831" s="185">
        <f t="shared" si="57"/>
        <v>5808.6891100000003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összekötő profil Simple/Blue H28 3m (RL:18mm) fényes fehér</v>
      </c>
      <c r="C1832" s="185">
        <f t="shared" si="57"/>
        <v>10060.93482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alsó vezetés 2m fehér fényes</v>
      </c>
      <c r="C1833" s="185">
        <f t="shared" si="57"/>
        <v>4099.6527800000003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alsó vezetés 3m fehér fényes</v>
      </c>
      <c r="C1834" s="185">
        <f t="shared" si="57"/>
        <v>6154.5656900000004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Blue-V alsó vezetés 6m fehér fényes</v>
      </c>
      <c r="C1835" s="185">
        <f t="shared" si="57"/>
        <v>12298.958689999999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felső vezetés 2m fehér fényes</v>
      </c>
      <c r="C1836" s="185">
        <f t="shared" si="57"/>
        <v>7670.3183900000004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felső vezetés 6m fehér fényes</v>
      </c>
      <c r="C1837" s="185">
        <f t="shared" si="57"/>
        <v>11505.47718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Blue felső vezetés 3m fehér fényes</v>
      </c>
      <c r="C1838" s="185">
        <f t="shared" si="57"/>
        <v>23010.95477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SEVROLL04921  Lynx fogantyú profil 2,7m ezüst</v>
      </c>
      <c r="C1839" s="185">
        <f t="shared" si="57"/>
        <v>8673.6189099999992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SEVROLL04920  Lynx fogantyú profil 2,7m oliva</v>
      </c>
      <c r="C1840" s="185" t="e">
        <f t="shared" si="57"/>
        <v>#N/A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SEVROLL05153  Alfa II profil 18mm 2,7m matt fehér</v>
      </c>
      <c r="C1841" s="185">
        <f t="shared" si="57"/>
        <v>6329.9391800000003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alsó vezetés 1,7m matt fehér</v>
      </c>
      <c r="C1842" s="185">
        <f t="shared" si="57"/>
        <v>4176.5579900000002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alsó vezetés 2,35m matt fehér</v>
      </c>
      <c r="C1843" s="185">
        <f t="shared" si="57"/>
        <v>5739.01116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alsó vezetés 4,05m matt fehér</v>
      </c>
      <c r="C1844" s="185">
        <f t="shared" si="57"/>
        <v>9875.5060699999995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Elegant II alsó vezetés 6m matt fehér</v>
      </c>
      <c r="C1845" s="185">
        <f t="shared" si="57"/>
        <v>14592.91346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fék</v>
      </c>
      <c r="C1851" s="185" t="e">
        <f t="shared" si="57"/>
        <v>#N/A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vezető elem</v>
      </c>
      <c r="C1852" s="185" t="e">
        <f t="shared" si="57"/>
        <v>#N/A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MSE-imbusz kulcs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Simple sablon a görgőkhöz 18mm rétegeltlemezhez</v>
      </c>
      <c r="C1854" s="185">
        <f t="shared" si="57"/>
        <v>1881.7835700000001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 t="e">
        <f t="shared" si="57"/>
        <v>#N/A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 t="e">
        <f t="shared" si="57"/>
        <v>#N/A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Fox II fogantyú profil 2,7m matt fekete</v>
      </c>
      <c r="C1860" s="185">
        <f t="shared" ref="C1860:C1923" si="59">IF($A$2=1,H1860,IF($A$2=2,I1860,IF($A$2=3,J1860,IF($A$2=4,K1860,IF($A$2&gt;4,O1860,"zadat jazyk")))))</f>
        <v>8313.0529399999996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SEVROLL10227-SV  Eden vasalat szett két ajtóra</v>
      </c>
      <c r="C1863" s="185">
        <f t="shared" si="59"/>
        <v>18038.323110000001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 Eden vasalat szett belső ajtóra</v>
      </c>
      <c r="C1864" s="185">
        <f t="shared" si="59"/>
        <v>8913.9965200000006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felső vezetés 1,7m ezüst</v>
      </c>
      <c r="C1865" s="185">
        <f t="shared" si="59"/>
        <v>3134.92229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Eden felső vezetés 1,7m fényes fehér</v>
      </c>
      <c r="C1866" s="185" t="e">
        <f t="shared" si="59"/>
        <v>#N/A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felső vezetés 2,35m ezüst</v>
      </c>
      <c r="C1867" s="185">
        <f t="shared" si="59"/>
        <v>4326.7938999999997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Eden felső vezetés 2,35m fényes fehér</v>
      </c>
      <c r="C1868" s="185" t="e">
        <f t="shared" si="59"/>
        <v>#N/A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felső vezetés 3m ezüst</v>
      </c>
      <c r="C1869" s="185">
        <f t="shared" si="59"/>
        <v>5528.6810599999999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Eden felső vezetés 3m fényes fehér</v>
      </c>
      <c r="C1870" s="185">
        <f t="shared" si="59"/>
        <v>7191.2914899999996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Eden felső vezetés 6m ezüst</v>
      </c>
      <c r="C1871" s="185">
        <f t="shared" si="59"/>
        <v>11057.36212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Eden felső vezetés 6m fényes fehér</v>
      </c>
      <c r="C1872" s="185">
        <f t="shared" si="59"/>
        <v>14372.5674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Eden vízszintes profil 1,7m ezüst</v>
      </c>
      <c r="C1873" s="185" t="e">
        <f t="shared" si="59"/>
        <v>#N/A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Eden XL vízszintes profil 1,7m ezüst</v>
      </c>
      <c r="C1874" s="185">
        <f t="shared" si="59"/>
        <v>9434.8143600000003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Eden XL vízszintes profil 1,7m fényes fehér</v>
      </c>
      <c r="C1875" s="185" t="e">
        <f t="shared" si="59"/>
        <v>#N/A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Eden vízszintes profil 1,7m fényes fehér</v>
      </c>
      <c r="C1876" s="185" t="e">
        <f t="shared" si="59"/>
        <v>#N/A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Eden vízszintes profil 2,35m fényes fehér</v>
      </c>
      <c r="C1877" s="185">
        <f t="shared" si="59"/>
        <v>15223.90415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Eden XL vízszintes profil 2,35m fényes fehér</v>
      </c>
      <c r="C1878" s="185" t="e">
        <f t="shared" si="59"/>
        <v>#N/A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Eden XL vízszintes profil 2,35m ezüst</v>
      </c>
      <c r="C1879" s="185" t="e">
        <f t="shared" si="59"/>
        <v>#N/A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Eden vízszintes profil 2,35m ezüst</v>
      </c>
      <c r="C1880" s="185" t="e">
        <f t="shared" si="59"/>
        <v>#N/A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Eden vízszintes profil 3m ezüst</v>
      </c>
      <c r="C1881" s="185" t="e">
        <f t="shared" si="59"/>
        <v>#N/A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Eden XL vízszintes profil 3m ezüst</v>
      </c>
      <c r="C1882" s="185" t="e">
        <f t="shared" si="59"/>
        <v>#N/A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Eden XL vízszintes profil 3m fényes fehér</v>
      </c>
      <c r="C1883" s="185" t="e">
        <f t="shared" si="59"/>
        <v>#N/A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Eden vízszintes profil 3m fényes fehér</v>
      </c>
      <c r="C1884" s="185">
        <f t="shared" si="59"/>
        <v>19430.509249999999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Eden felső takaró elem 1,1m ezüst</v>
      </c>
      <c r="C1885" s="185">
        <f t="shared" si="59"/>
        <v>1442.26478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dísz profil S10 3m ezüst</v>
      </c>
      <c r="C1887" s="185" t="e">
        <f t="shared" si="59"/>
        <v>#N/A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dísz profil S20 3m ezüst</v>
      </c>
      <c r="C1888" s="185" t="e">
        <f t="shared" si="59"/>
        <v>#N/A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 t="e">
        <f t="shared" si="59"/>
        <v>#N/A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csillapító</v>
      </c>
      <c r="C1890" s="185" t="e">
        <f t="shared" si="59"/>
        <v>#N/A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laminóhoz 18mm 2m ezüst</v>
      </c>
      <c r="C1891" s="185" t="e">
        <f t="shared" si="59"/>
        <v>#N/A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S-rápattintható profil 28mm 2m ezüst</v>
      </c>
      <c r="C1892" s="185" t="e">
        <f t="shared" si="59"/>
        <v>#N/A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ZR18 szett szétnyíló ajtóhoz</v>
      </c>
      <c r="C1893" s="185">
        <f t="shared" si="59"/>
        <v>10947.188889999999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Vezető tövis Omge 1390/1400</v>
      </c>
      <c r="C1894" s="185" t="e">
        <f t="shared" si="59"/>
        <v>#N/A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kabin felső profil 13/18mm, 3,2m hossú, eloxált alumínium</v>
      </c>
      <c r="C1895" s="185" t="e">
        <f t="shared" si="59"/>
        <v>#N/A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kabin felső profil 10/25 mm, 3200mm, eloxált alumínium</v>
      </c>
      <c r="C1896" s="185" t="e">
        <f t="shared" si="59"/>
        <v>#N/A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csillapító</v>
      </c>
      <c r="C1900" s="185" t="e">
        <f t="shared" si="59"/>
        <v>#N/A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csillapító</v>
      </c>
      <c r="C1901" s="185" t="e">
        <f t="shared" si="59"/>
        <v>#N/A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IC-felső vezetés EU 4m pezsgő</v>
      </c>
      <c r="C1902" s="185" t="e">
        <f t="shared" si="59"/>
        <v>#N/A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IC-alsó vezetés EU 4m pezsgő</v>
      </c>
      <c r="C1903" s="185" t="e">
        <f t="shared" si="59"/>
        <v>#N/A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IC-felső görgő szett (2db) Rome-hoz</v>
      </c>
      <c r="C1904" s="185" t="e">
        <f t="shared" si="59"/>
        <v>#N/A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IC-alsó görgő szett (2db) Rome-hoz</v>
      </c>
      <c r="C1905" s="185" t="e">
        <f t="shared" si="59"/>
        <v>#N/A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S-S45-takaró el.ajtóra 2m ezüst</v>
      </c>
      <c r="C1916" s="185" t="e">
        <f t="shared" si="59"/>
        <v>#N/A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IC-ütköző kefe becsúszt. 14,5x4mm</v>
      </c>
      <c r="C1917" s="185" t="e">
        <f t="shared" si="59"/>
        <v>#N/A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vasalat szett Mini csillapítóhoz</v>
      </c>
      <c r="C1918" s="185">
        <f t="shared" si="59"/>
        <v>820.11125000000004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 t="e">
        <f t="shared" si="59"/>
        <v>#N/A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Takaró profil SEVROLL Herakles 3m</v>
      </c>
      <c r="C1923" s="185" t="e">
        <f t="shared" si="59"/>
        <v>#N/A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Herakles felső vezetés 3m nyers</v>
      </c>
      <c r="C1924" s="185" t="e">
        <f t="shared" ref="C1924:C1987" si="61">IF($A$2=1,H1924,IF($A$2=2,I1924,IF($A$2=3,J1924,IF($A$2=4,K1924,IF($A$2&gt;4,O1924,"zadat jazyk")))))</f>
        <v>#N/A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Herakles tompító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Herakles tompító 40-80kg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Herakles vasalat szett ZPH-18 egy szárnyra</v>
      </c>
      <c r="C1927" s="185">
        <f t="shared" si="61"/>
        <v>7246.6725800000004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tartó elem felső vezetéshez Herakles</v>
      </c>
      <c r="C1928" s="185">
        <f t="shared" si="61"/>
        <v>706.99252999999999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DI-alsó görgő</v>
      </c>
      <c r="C1929" s="185" t="e">
        <f t="shared" si="61"/>
        <v>#N/A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DI-felső görgő</v>
      </c>
      <c r="C1930" s="185" t="e">
        <f t="shared" si="61"/>
        <v>#N/A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vasalat szett ZSE-10</v>
      </c>
      <c r="C1931" s="185" t="e">
        <f t="shared" si="61"/>
        <v>#N/A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felső profil alu nyers 2m</v>
      </c>
      <c r="C1932" s="185" t="e">
        <f t="shared" si="61"/>
        <v>#N/A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felső profil alu nyers 3m</v>
      </c>
      <c r="C1933" s="185" t="e">
        <f t="shared" si="61"/>
        <v>#N/A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alsó profil alu nyers 2m</v>
      </c>
      <c r="C1934" s="185" t="e">
        <f t="shared" si="61"/>
        <v>#N/A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S-vasalat szett S65-2</v>
      </c>
      <c r="C1941" s="185" t="e">
        <f t="shared" si="61"/>
        <v>#N/A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ezüst elox 2,7m</v>
      </c>
      <c r="C1942" s="185" t="e">
        <f t="shared" si="61"/>
        <v>#N/A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MSE-alsó vezetés FFL-hoz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Ajtó merevítő max. 2250mm fekete</v>
      </c>
      <c r="C1944" s="185" t="e">
        <f t="shared" si="61"/>
        <v>#N/A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Ajtómerevítő max. 2250mm fehér</v>
      </c>
      <c r="C1945" s="185" t="e">
        <f t="shared" si="61"/>
        <v>#N/A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Fogantyú profil minta 2017 irattartó ÁRUSÍTÁS</v>
      </c>
      <c r="C1950" s="185" t="e">
        <f t="shared" si="61"/>
        <v>#N/A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csillapító</v>
      </c>
      <c r="C1951" s="185" t="e">
        <f t="shared" si="61"/>
        <v>#N/A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szögletvas Mini 17x11mm 3m matt fekete</v>
      </c>
      <c r="C1959" s="185">
        <f t="shared" si="61"/>
        <v>2163.3967400000001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felső vezetés 3m matt fekete</v>
      </c>
      <c r="C1960" s="185">
        <f t="shared" si="61"/>
        <v>12499.626490000001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alsó vezetés 3m matt fekete</v>
      </c>
      <c r="C1961" s="185">
        <f t="shared" si="61"/>
        <v>7291.4487600000002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ezüst</v>
      </c>
      <c r="C1963" s="185" t="e">
        <f t="shared" si="61"/>
        <v>#N/A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felső és közép elosztó 2,5m ezüst</v>
      </c>
      <c r="C1964" s="185" t="e">
        <f t="shared" si="61"/>
        <v>#N/A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alsó elosztó 3m ezüst</v>
      </c>
      <c r="C1965" s="185" t="e">
        <f t="shared" si="61"/>
        <v>#N/A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alsó vezető profil 2,5m ezüst</v>
      </c>
      <c r="C1966" s="185" t="e">
        <f t="shared" si="61"/>
        <v>#N/A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S-vasalat szett S90-W1 inox 2,0m</v>
      </c>
      <c r="C1967" s="185" t="e">
        <f t="shared" si="61"/>
        <v>#N/A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profil 18mm 2,7m  matt fekete</v>
      </c>
      <c r="C1968" s="185">
        <f t="shared" si="61"/>
        <v>6329.9391800000003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S-vasalat szett S80SC kiegészítő</v>
      </c>
      <c r="C1971" s="185" t="e">
        <f t="shared" si="61"/>
        <v>#N/A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S-vasalat szett S36</v>
      </c>
      <c r="C1972" s="185" t="e">
        <f t="shared" si="61"/>
        <v>#N/A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ruharúd ovális 3m ezüst</v>
      </c>
      <c r="C1973" s="185">
        <f t="shared" si="61"/>
        <v>5618.8223600000001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összekötő elem sarokra</v>
      </c>
      <c r="C1974" s="185">
        <f t="shared" si="61"/>
        <v>500.78631000000001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rögzítő elem falra</v>
      </c>
      <c r="C1975" s="185">
        <f t="shared" si="61"/>
        <v>430.67615999999998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bútorláb állítható</v>
      </c>
      <c r="C1976" s="185">
        <f t="shared" si="61"/>
        <v>1101.7299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ruharúd gömbölyű 3m alu ezüst</v>
      </c>
      <c r="C1977" s="185">
        <f t="shared" si="61"/>
        <v>3635.7085999999999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ruharúd gömbölyű 4m ezüst</v>
      </c>
      <c r="C1978" s="185" t="e">
        <f t="shared" si="61"/>
        <v>#N/A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alap hordozó elem 3m ezüst</v>
      </c>
      <c r="C1979" s="185">
        <f t="shared" si="61"/>
        <v>13140.63315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ovális ruharúd tartó hordozó elembe</v>
      </c>
      <c r="C1980" s="185">
        <f t="shared" si="61"/>
        <v>580.91206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polctartó</v>
      </c>
      <c r="C1981" s="185">
        <f t="shared" si="61"/>
        <v>1071.68281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polctartó cipőpolchoz</v>
      </c>
      <c r="C1982" s="185">
        <f t="shared" si="61"/>
        <v>1322.0759599999999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végzáró gömbölyű ruharúdhoz</v>
      </c>
      <c r="C1983" s="185">
        <f t="shared" si="61"/>
        <v>133.26801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végzáró hordozó elemhez</v>
      </c>
      <c r="C1984" s="185">
        <f t="shared" si="61"/>
        <v>533.07240000000002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szett 8 db rögzítő szögletvas</v>
      </c>
      <c r="C1985" s="185">
        <f t="shared" si="61"/>
        <v>7752.1724100000001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S-S05-1-felső vez.profil egyutas 3m ez.</v>
      </c>
      <c r="C1992" s="185" t="e">
        <f t="shared" si="63"/>
        <v>#N/A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felső és középső válaszfal 3m ezüst</v>
      </c>
      <c r="C1993" s="185" t="e">
        <f t="shared" si="63"/>
        <v>#N/A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/>
      </c>
      <c r="C1996" s="185" t="e">
        <f t="shared" si="63"/>
        <v>#N/A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Pánt balos (csavarok) H70 18 mm</v>
      </c>
      <c r="C1998" s="185" t="e">
        <f t="shared" si="63"/>
        <v>#N/A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vasalat szett két ajtóra</v>
      </c>
      <c r="C1999" s="185" t="e">
        <f t="shared" si="63"/>
        <v>#N/A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alsó vezetés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felső vezetés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alsó vezetés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felső vezetés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 04534-A Universal 18 fogantyú profil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First felső/alsó vezetés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 02283 Gemini-2 fogantyú profil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 02286 System 10 II fogantyú profil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fogantyú profil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alsó vezetés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  Gemini felső vezetés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 Gemini felső vezetés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 Gemini felső vezetés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01439 Gemini felső vezetés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szögletvas Mini 17x11mm 1,7m oliva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 00094 -A szögletvas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00703-A összekötő profil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00155 alsó takaró profil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00153  alsó takaró profil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00152-A  alsó takaró profil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02908-A felső vezető profil 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02909-A felső vezető profil 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02910-A felső vezető profil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00204-A  összekötő profil H10 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fogantyú profil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00635 -A Tytan fogantyú profil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Comfort felső vezetés 2,35m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Comfort felső vezetés 3m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Comfort felső vezetés 4,05m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 00029"U" profil rétegelt lemezhez 18mm 3m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00219-A  összekötő profil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fogantyú profil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fogantyú profil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szögletvas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 00071 szögletvas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00212 -A összekötő profil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 összekötő profil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Single felső vezetés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Single felső vezetés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alsó vezetés 1,7m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alsó vezetés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alsó vezetés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 Elegant II alsó vezetés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 Elegant II alsó vezetés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 Elegant II alsó vezetés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"U" profil rétegelt lemezhez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01711 összekötő profil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01390 Gemini felső vezetés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02292 dísz profil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02337  dísz profil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02711-A Julia II fogantyú profil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02690-A Romeo II fogantyú profil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 Factor 18 II fogantyú profil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 fogantyú profil 2,7m oliva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fogantyú profil 18mm 2,7m oliva új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fogantyú profil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Comfort 18 II fogantyú profil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fogantyú profil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fogantyú profil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Comfort 16 II fogantyú profil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02776-A Ergo fogantyú profil 2,7m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felső/alsó vezetés 1,8m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Doubler II alsó vezetés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Doubler II alsó vezetés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Doubler II alsó vezetés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Doubler II alsó vezetés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Doubler II alsó vezetés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Doubler II takaró profil 1,7m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Doubler II takaró profil 2,35m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Doubler II takaró profil 3m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Doubler II takaró profil 4,05m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Doubler II takaró profil 6m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fogantyú profil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fogantyú profil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felső/alsó vezetés 3m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felső/alsó vezetés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felső/alsó vezetés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felső vezetés egyszerű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felső vezetés egyszerű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fogantyú profil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fogantyú profil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alsó vezetés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alsó vezetés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 04529-A Alfa II fogantyú profil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fogantyú profil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összekötő profil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felső vezetés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összekötő profile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összek.profile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felső vezetés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vezető profil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03916 Oaza II fogantyú profil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vezető profil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03578  Fala fogantyú profil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03579 Polo fogantyú profil 10mm 2,70m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felső vezetés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alsó vezetés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 04444-M összekötő profil Simple/Blue H28 3m (18 mm-es Rét. Lem.) oliva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03583 alsó takaró profil Simple/Blue 3m (10 mm-es Rét. Lem.)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felső vezetés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felső vezetés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felső vezetés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felső vezetés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felső vezetés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alsó vezetés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alsó vezetés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alsó vezetés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alsó vezetés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alsó vezetés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 04456-M felső vezető profil Simple/Blue 1,5m (18 mm-es Rét. Lem.) oliva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 04457-M felső vezető profil Simple/Blue 2m (18 mm-es Rét. Lem.) oliva n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felső vezető profil Simple/Blue 2,5m (18 mm-es Rét. Lem.)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 04448-M  alsó takaró profil Simple/Blue 1,5m (18 mm-es Rét. Lem.) oliva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felső vezető profil Simple/Blue 1,5m (10 mm-es Rét. Lem.)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felső vezető profil Simple/Blue 2m (10 mm-es Rét. Lem.)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felső vezető profil Simple/Blue 2,5m (10 mm-es Rét. Lem.)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alsó takaró profil Simple/Blue 1,5m (10 mm-es Rét. Lem.)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alsó takaró profil Simple/Blue 2m (10 mm-es Rét. Lem.)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alsó takaró profil Simple/Blue 2,5m (10 mm-es Rét. Lem.)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 04446-M összekötő profil Simple/Blue H21 3m (18 mm-es Rét. Lem.) oliva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összek.prof.Simple/Blue H25 3m(16mm)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fogantyú profil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takaró profil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"U" profil rétegelt lemezhez 36mm 3m oliva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"U" Mini profil 18 mm-es Rét. Lem.re 3m oliva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szögletvas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szögletvas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fogantyú profil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dísz profil S18 ragasztóval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 Gemini II alsó vezetés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alsó vezetés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alsó vezetés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alsó vezetés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alsó vezetés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 takaró profil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 Elegant II alsó vezetés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SEVROLL04747-A  Rekord fogantyú profil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 04298-A takaró profil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alsó profil 2,5m ezüst elox</v>
      </c>
      <c r="C2139" s="185" t="e">
        <f t="shared" si="67"/>
        <v>#N/A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 S13B 2,7 m ezüst eloxált</v>
      </c>
      <c r="C2167" s="185" t="e">
        <f t="shared" si="67"/>
        <v>#N/A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S-vasalat szett SPS PV</v>
      </c>
      <c r="C2168" s="185" t="e">
        <f t="shared" si="67"/>
        <v>#N/A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S-vasalat szett SPS ZV</v>
      </c>
      <c r="C2169" s="185" t="e">
        <f t="shared" si="67"/>
        <v>#N/A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S-vezető profil SPS ferde ajtóra 3m ezüst</v>
      </c>
      <c r="C2170" s="185" t="e">
        <f t="shared" si="67"/>
        <v>#N/A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S-S06N-alsó vezető profil 4,5m ezüst</v>
      </c>
      <c r="C2171" s="185" t="e">
        <f t="shared" si="67"/>
        <v>#N/A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S-S05-felső vezető profil 5m ezüst</v>
      </c>
      <c r="C2172" s="185" t="e">
        <f t="shared" si="67"/>
        <v>#N/A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Az S-kefe ütközője alacsony, ragasztó nélkül, 4,8x6mm szürke</v>
      </c>
      <c r="C2173" s="185" t="e">
        <f t="shared" si="67"/>
        <v>#N/A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profile acél 6m ezüst</v>
      </c>
      <c r="C2174" s="185" t="e">
        <f t="shared" si="67"/>
        <v>#N/A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Beltéri tolóajtó vasalat 01499/2AM/27/1900/10 80kg</v>
      </c>
      <c r="C2175" s="185" t="e">
        <f t="shared" si="67"/>
        <v>#N/A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Beczúsztatható porkefe 6,7x7mm szürke</v>
      </c>
      <c r="C2179" s="185" t="e">
        <f t="shared" si="67"/>
        <v>#N/A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S-vasalat szett S65</v>
      </c>
      <c r="C2180" s="185" t="e">
        <f t="shared" ref="C2180:C2243" si="69">IF($A$2=1,H2180,IF($A$2=2,I2180,IF($A$2=3,J2180,IF($A$2=4,K2180,IF($A$2&gt;4,O2180,"zadat jazyk")))))</f>
        <v>#N/A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felső vezető profil 3,5m ezüst</v>
      </c>
      <c r="C2181" s="185" t="e">
        <f t="shared" si="69"/>
        <v>#N/A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felső vezető profil 4m ezüst</v>
      </c>
      <c r="C2182" s="185" t="e">
        <f t="shared" si="69"/>
        <v>#N/A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alsó vezető profil alu 3m</v>
      </c>
      <c r="C2183" s="185" t="e">
        <f t="shared" si="69"/>
        <v>#N/A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Beltéri tolóajtó vasalat 1390 40kg</v>
      </c>
      <c r="C2184" s="185" t="e">
        <f t="shared" si="69"/>
        <v>#N/A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Beltéri tolóajtó vasalat 1391/120 40kg</v>
      </c>
      <c r="C2185" s="185" t="e">
        <f t="shared" si="69"/>
        <v>#N/A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Csúszó belső szerelvények 1391/155 40kg</v>
      </c>
      <c r="C2186" s="185" t="e">
        <f t="shared" si="69"/>
        <v>#N/A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Csúszó belső szerelvények 1391/190 40kg</v>
      </c>
      <c r="C2187" s="185" t="e">
        <f t="shared" si="69"/>
        <v>#N/A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Csúszó belső szerelvények 1391/190 40kg</v>
      </c>
      <c r="C2188" s="185" t="e">
        <f t="shared" si="69"/>
        <v>#N/A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Beltéri tolóajtó vasalat 1391/280 40kg</v>
      </c>
      <c r="C2189" s="185" t="e">
        <f t="shared" si="69"/>
        <v>#N/A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Beltéri tolóajtó vasalat 1391/330 40kg</v>
      </c>
      <c r="C2190" s="185" t="e">
        <f t="shared" si="69"/>
        <v>#N/A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acél 2m ezüst</v>
      </c>
      <c r="C2191" s="185" t="e">
        <f t="shared" si="69"/>
        <v>#N/A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szett Herkules plus 40kg 2 ajtószárnyra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vezető elem Hercules harmonikaajtóra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közép pánt rugóval ezüst</v>
      </c>
      <c r="C2194" s="185">
        <f t="shared" si="69"/>
        <v>1266.69498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felső vezetés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lemez</v>
      </c>
      <c r="C2196" s="185" t="e">
        <f t="shared" si="69"/>
        <v>#N/A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 - vasalat szett S80SC csillapítóval</v>
      </c>
      <c r="C2201" s="185" t="e">
        <f t="shared" si="69"/>
        <v>#N/A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oldalsó takaró elem Single + finomállító</v>
      </c>
      <c r="C2207" s="185">
        <f t="shared" si="69"/>
        <v>10192.47445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 S11 ezüst elox 2,7m</v>
      </c>
      <c r="C2208" s="185" t="e">
        <f t="shared" si="69"/>
        <v>#N/A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/>
      </c>
      <c r="C2212" s="185" t="e">
        <f t="shared" si="69"/>
        <v>#N/A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WC-záró foglalt/szabad jelzővel lamináltra 12 mm-es</v>
      </c>
      <c r="C2213" s="185" t="e">
        <f t="shared" si="69"/>
        <v>#N/A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Ütköző WC ajtóra</v>
      </c>
      <c r="C2215" s="185" t="e">
        <f t="shared" si="69"/>
        <v>#N/A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Ajtókilincs H38</v>
      </c>
      <c r="C2216" s="185" t="e">
        <f t="shared" si="69"/>
        <v>#N/A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szögletvas (rögzítés falra)</v>
      </c>
      <c r="C2217" s="185" t="e">
        <f t="shared" si="69"/>
        <v>#N/A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Pánt balos (csavarok) H70</v>
      </c>
      <c r="C2218" s="185" t="e">
        <f t="shared" si="69"/>
        <v>#N/A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Pánt jobbos (csavarok) H70 12 mm</v>
      </c>
      <c r="C2219" s="185" t="e">
        <f t="shared" si="69"/>
        <v>#N/A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Pánt balos (csavarok) SH70 12 mm</v>
      </c>
      <c r="C2220" s="185" t="e">
        <f t="shared" si="69"/>
        <v>#N/A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Pánt jobbos (csavarok) SH70 12 mm</v>
      </c>
      <c r="C2221" s="185" t="e">
        <f t="shared" si="69"/>
        <v>#N/A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Pánt balos eltolással (csavarok) VSH70</v>
      </c>
      <c r="C2222" s="185" t="e">
        <f t="shared" si="69"/>
        <v>#N/A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Pánt jobbos eltolással (csavarok) VSH70</v>
      </c>
      <c r="C2223" s="185" t="e">
        <f t="shared" si="69"/>
        <v>#N/A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Összekötő cső 32 mm - 3 m</v>
      </c>
      <c r="C2225" s="185" t="e">
        <f t="shared" si="69"/>
        <v>#N/A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Cső rögzítése a falra</v>
      </c>
      <c r="C2226" s="185" t="e">
        <f t="shared" si="69"/>
        <v>#N/A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Sarokcsatlakozó a csőre 90 fok</v>
      </c>
      <c r="C2227" s="185" t="e">
        <f t="shared" si="69"/>
        <v>#N/A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T csatlakozó a csőre</v>
      </c>
      <c r="C2228" s="185" t="e">
        <f t="shared" si="69"/>
        <v>#N/A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Felső rögzítő kapocs 90° fok 12mm</v>
      </c>
      <c r="C2234" s="185" t="e">
        <f t="shared" si="69"/>
        <v>#N/A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fogantyú profil + takaró profil alu 2,7m</v>
      </c>
      <c r="C2235" s="185" t="e">
        <f t="shared" si="69"/>
        <v>#N/A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S-vasalat szett S55A</v>
      </c>
      <c r="C2236" s="185" t="e">
        <f t="shared" si="69"/>
        <v>#N/A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IC-összekötő elem Comfort ferde alumínium ajtóra</v>
      </c>
      <c r="C2237" s="185" t="e">
        <f t="shared" si="69"/>
        <v>#N/A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 - Támfalas kefe alacsony 13x5mm szürke</v>
      </c>
      <c r="C2238" s="185" t="e">
        <f t="shared" si="69"/>
        <v>#N/A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IC-fogantyú profil Portland 10mm 2,7m ezüst</v>
      </c>
      <c r="C2239" s="185" t="e">
        <f t="shared" si="69"/>
        <v>#N/A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S-kétoldalú csillapító Slidix Centro T25 S55/S60/S65</v>
      </c>
      <c r="C2241" s="185" t="e">
        <f t="shared" si="69"/>
        <v>#N/A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IC-alsó vezetés 3m sarkvidéki ezüst</v>
      </c>
      <c r="C2247" s="185" t="e">
        <f t="shared" si="71"/>
        <v>#N/A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IC-vízszintes profil 10mm 2,4m sarkvidéki ezüst</v>
      </c>
      <c r="C2248" s="185" t="e">
        <f t="shared" si="71"/>
        <v>#N/A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alsó profil 3m elox ezüst</v>
      </c>
      <c r="C2249" s="185" t="e">
        <f t="shared" si="71"/>
        <v>#N/A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csillapító</v>
      </c>
      <c r="C2251" s="185" t="e">
        <f t="shared" si="71"/>
        <v>#N/A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szett Apollo 2/756</v>
      </c>
      <c r="C2253" s="185" t="e">
        <f t="shared" si="71"/>
        <v>#N/A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vasalat szett ZSE-10 Plus</v>
      </c>
      <c r="C2254" s="185">
        <f t="shared" si="71"/>
        <v>25690.338250000001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vasalat szett ZSE-18</v>
      </c>
      <c r="C2255" s="185" t="e">
        <f t="shared" si="71"/>
        <v>#N/A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vasalat szett ZSE-18 Plus</v>
      </c>
      <c r="C2256" s="185" t="e">
        <f t="shared" si="71"/>
        <v>#N/A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vasalat szett ZSE-18 U Plus</v>
      </c>
      <c r="C2257" s="185" t="e">
        <f t="shared" si="71"/>
        <v>#N/A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IC-felső vezetés szimpla 2m ezüst</v>
      </c>
      <c r="C2258" s="185" t="e">
        <f t="shared" si="71"/>
        <v>#N/A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IC-felső vezetés szimpla 3m ezüst</v>
      </c>
      <c r="C2259" s="185" t="e">
        <f t="shared" si="71"/>
        <v>#N/A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IC-alsó vezetés szimpla 2m ezüst</v>
      </c>
      <c r="C2260" s="185" t="e">
        <f t="shared" si="71"/>
        <v>#N/A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IC-alsó vezetés szimpla 3m ezüst</v>
      </c>
      <c r="C2261" s="185" t="e">
        <f t="shared" si="71"/>
        <v>#N/A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IC-alsó vezetés szimpla 5m ezüst</v>
      </c>
      <c r="C2262" s="185" t="e">
        <f t="shared" si="71"/>
        <v>#N/A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alsó vezető profil 3m ezüst</v>
      </c>
      <c r="C2264" s="185" t="e">
        <f t="shared" si="71"/>
        <v>#N/A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takaró profil (maszk) 3m ezüst</v>
      </c>
      <c r="C2265" s="185" t="e">
        <f t="shared" si="71"/>
        <v>#N/A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fogantyú profil 100mm oliva new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DI-felső szimpla sín 5m oliva</v>
      </c>
      <c r="C2270" s="185" t="e">
        <f t="shared" si="71"/>
        <v>#N/A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EZÜST 2,7 M</v>
      </c>
      <c r="C2271" s="185" t="e">
        <f t="shared" si="71"/>
        <v>#N/A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vezető profil alu elox 2,5m</v>
      </c>
      <c r="C2272" s="185" t="e">
        <f t="shared" si="71"/>
        <v>#N/A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eloxált alumínium vezetőprofil 3m</v>
      </c>
      <c r="C2273" s="185" t="e">
        <f t="shared" si="71"/>
        <v>#N/A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 S30 dupla elox 4,5m</v>
      </c>
      <c r="C2274" s="185" t="e">
        <f t="shared" si="71"/>
        <v>#N/A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S-porfogó kefe magas 6,7x12mm szürke</v>
      </c>
      <c r="C2275" s="185" t="e">
        <f t="shared" si="71"/>
        <v>#N/A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csillapító</v>
      </c>
      <c r="C2276" s="185" t="e">
        <f t="shared" si="71"/>
        <v>#N/A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S-S06-alsó vezető profil 2m alu</v>
      </c>
      <c r="C2354" s="185" t="e">
        <f t="shared" si="73"/>
        <v>#N/A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alsó vezető profil 3,5m ezüst</v>
      </c>
      <c r="C2355" s="185" t="e">
        <f t="shared" si="73"/>
        <v>#N/A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szett szétnyíló ajtóhoz</v>
      </c>
      <c r="C2356" s="185">
        <f t="shared" si="73"/>
        <v>8012.5811299999996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felső vezető profil 2m ezüst</v>
      </c>
      <c r="C2357" s="185" t="e">
        <f t="shared" si="73"/>
        <v>#N/A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felső vezető profil 2,5m ezüst</v>
      </c>
      <c r="C2358" s="185" t="e">
        <f t="shared" si="73"/>
        <v>#N/A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felső vezető profil 3m ezüst</v>
      </c>
      <c r="C2359" s="185" t="e">
        <f t="shared" si="73"/>
        <v>#N/A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alsó vezető profil 2m ezüst</v>
      </c>
      <c r="C2360" s="185" t="e">
        <f t="shared" si="73"/>
        <v>#N/A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alsó vezető profil 2,5m ezüst</v>
      </c>
      <c r="C2361" s="185" t="e">
        <f t="shared" si="73"/>
        <v>#N/A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alsó vezető profil alu 4m</v>
      </c>
      <c r="C2362" s="185" t="e">
        <f t="shared" si="73"/>
        <v>#N/A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fogantyú profil + takaró profil alu 2,7m</v>
      </c>
      <c r="C2363" s="185" t="e">
        <f t="shared" si="73"/>
        <v>#N/A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felső és középső profil 4/18mm 2m ezüst</v>
      </c>
      <c r="C2364" s="185" t="e">
        <f t="shared" si="73"/>
        <v>#N/A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felső és középső profil 4/18mm 3m ezüst</v>
      </c>
      <c r="C2365" s="185" t="e">
        <f t="shared" si="73"/>
        <v>#N/A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alsó profil 4/18mm 2m ezüst</v>
      </c>
      <c r="C2366" s="185" t="e">
        <f t="shared" si="73"/>
        <v>#N/A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alsó profil 4/18mm 3m ezüst</v>
      </c>
      <c r="C2367" s="185" t="e">
        <f t="shared" si="73"/>
        <v>#N/A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S-vasalat szett S60</v>
      </c>
      <c r="C2368" s="185" t="e">
        <f t="shared" si="73"/>
        <v>#N/A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takaró profil alu 2,5m</v>
      </c>
      <c r="C2369" s="185" t="e">
        <f t="shared" si="73"/>
        <v>#N/A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alsó profil 4/18mm 3,5m ezüst</v>
      </c>
      <c r="C2370" s="185" t="e">
        <f t="shared" si="73"/>
        <v>#N/A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alsó vezető profil alu 3,5m</v>
      </c>
      <c r="C2371" s="185" t="e">
        <f t="shared" si="73"/>
        <v>#N/A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takaró profil 3,5m ezüst elox</v>
      </c>
      <c r="C2372" s="185" t="e">
        <f t="shared" ref="C2372:C2435" si="75">IF($A$2=1,H2372,IF($A$2=2,I2372,IF($A$2=3,J2372,IF($A$2=4,K2372,IF($A$2&gt;4,O2372,"zadat jazyk")))))</f>
        <v>#N/A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felső és középső profil 3,5m ezüst</v>
      </c>
      <c r="C2373" s="185" t="e">
        <f t="shared" si="75"/>
        <v>#N/A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S-S65-alsó profil 4/18mm 3,5m ezüst</v>
      </c>
      <c r="C2374" s="185" t="e">
        <f t="shared" si="75"/>
        <v>#N/A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szett 3 ajtószárny max. 21mm 50kg</v>
      </c>
      <c r="C2381" s="185" t="e">
        <f t="shared" si="75"/>
        <v>#N/A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szett 3 ajtószárny max. 28mm 50kg</v>
      </c>
      <c r="C2382" s="185" t="e">
        <f t="shared" si="75"/>
        <v>#N/A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2 csillapító szett 40 Nm</v>
      </c>
      <c r="C2383" s="185" t="e">
        <f t="shared" si="75"/>
        <v>#N/A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felső sín alu elox 3m</v>
      </c>
      <c r="C2386" s="185" t="e">
        <f t="shared" si="75"/>
        <v>#N/A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alsó vezetés alu elox 3m</v>
      </c>
      <c r="C2387" s="185" t="e">
        <f t="shared" si="75"/>
        <v>#N/A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IC-profil Standard 10mm wenge 2,75m</v>
      </c>
      <c r="C2391" s="185" t="e">
        <f t="shared" si="75"/>
        <v>#N/A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IC-felső sín WE 10 mm, wenge 2m</v>
      </c>
      <c r="C2392" s="185" t="e">
        <f t="shared" si="75"/>
        <v>#N/A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IC-alsó vezetés wenge 2m</v>
      </c>
      <c r="C2393" s="185" t="e">
        <f t="shared" si="75"/>
        <v>#N/A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vízszintes profil wenge 2,4m</v>
      </c>
      <c r="C2394" s="185" t="e">
        <f t="shared" si="75"/>
        <v>#N/A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IC-takaró profil 14mm 3,6m pezsgő</v>
      </c>
      <c r="C2395" s="185" t="e">
        <f t="shared" si="75"/>
        <v>#N/A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IC-osztó profil WE wenge 2,75m</v>
      </c>
      <c r="C2396" s="185" t="e">
        <f t="shared" si="75"/>
        <v>#N/A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típus S 1200-1799mm vasalat szett + vezetés</v>
      </c>
      <c r="C2398" s="185" t="e">
        <f t="shared" si="75"/>
        <v>#N/A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típus M 1800-2199mm vasalat szett + vezetés</v>
      </c>
      <c r="C2399" s="185" t="e">
        <f t="shared" si="75"/>
        <v>#N/A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típus L 2200-2400mm vasalat szett + vezetés</v>
      </c>
      <c r="C2400" s="185" t="e">
        <f t="shared" si="75"/>
        <v>#N/A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profil dupla 6m elox</v>
      </c>
      <c r="C2401" s="185" t="e">
        <f t="shared" si="75"/>
        <v>#N/A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WIL.RÚD TARTÓ</v>
      </c>
      <c r="C2402" s="185" t="e">
        <f t="shared" si="75"/>
        <v>#N/A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Wilson hordozó elem 2108mm ezüst</v>
      </c>
      <c r="C2403" s="185" t="e">
        <f t="shared" si="75"/>
        <v>#N/A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Wilson konzol 300mm ezüst</v>
      </c>
      <c r="C2404" s="185" t="e">
        <f t="shared" si="75"/>
        <v>#N/A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Wilson konzol 500mm ezüst</v>
      </c>
      <c r="C2405" s="185" t="e">
        <f t="shared" si="75"/>
        <v>#N/A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Wilson rúd átmérő 25mm 1,2m ezüst</v>
      </c>
      <c r="C2406" s="185" t="e">
        <f t="shared" si="75"/>
        <v>#N/A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WIL.SZERELÉSI KLIP EZÜST</v>
      </c>
      <c r="C2407" s="185" t="e">
        <f t="shared" si="75"/>
        <v>#N/A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Wilson végzáró rúdhoz</v>
      </c>
      <c r="C2408" s="185">
        <f t="shared" si="75"/>
        <v>471.56380999999999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takaró profil (maszk) 2m ezüst</v>
      </c>
      <c r="C2409" s="185" t="e">
        <f t="shared" si="75"/>
        <v>#N/A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IC-fogantyú profil Standard 2,75m 4mm sarkvidéki ezüst</v>
      </c>
      <c r="C2411" s="185" t="e">
        <f t="shared" si="75"/>
        <v>#N/A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IC-görgő szett Standard/Classic 1 ajtószárny</v>
      </c>
      <c r="C2412" s="185" t="e">
        <f t="shared" si="75"/>
        <v>#N/A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felső vezető profil 1,5m ezüst</v>
      </c>
      <c r="C2414" s="185" t="e">
        <f t="shared" si="75"/>
        <v>#N/A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alsó profil 1,5m elox ezüst</v>
      </c>
      <c r="C2415" s="185" t="e">
        <f t="shared" si="75"/>
        <v>#N/A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takaró profil (maszk) 1,5m ezüst</v>
      </c>
      <c r="C2416" s="185" t="e">
        <f t="shared" si="75"/>
        <v>#N/A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felső és középső profil 2,5m ezüst</v>
      </c>
      <c r="C2417" s="185" t="e">
        <f t="shared" si="75"/>
        <v>#N/A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alsó profil 4/18mm 2,5m ezüst</v>
      </c>
      <c r="C2418" s="185" t="e">
        <f t="shared" si="75"/>
        <v>#N/A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 S30 dupla nyers 3m</v>
      </c>
      <c r="C2420" s="185" t="e">
        <f t="shared" si="75"/>
        <v>#N/A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komplett polc szett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komplett polc szett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komplett polc szett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komplett polc szett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komplett polc szett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komplett polc szett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Profil tartó 1390 (40kg)</v>
      </c>
      <c r="C2427" s="185" t="e">
        <f t="shared" si="75"/>
        <v>#N/A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tolóajtó vasalat 1030 2 ajtó</v>
      </c>
      <c r="C2428" s="185">
        <f t="shared" si="75"/>
        <v>3135.7456000000002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tolóajtó vasalat 1030 3 ajtó</v>
      </c>
      <c r="C2429" s="185">
        <f t="shared" si="75"/>
        <v>4707.39905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profil függőleges széles (Classic) fehér 2,75m</v>
      </c>
      <c r="C2430" s="185" t="e">
        <f t="shared" si="75"/>
        <v>#N/A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profil függőleges széles (Classic) fehér 2,75m</v>
      </c>
      <c r="C2431" s="185" t="e">
        <f t="shared" si="75"/>
        <v>#N/A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IC-sín felső fehér 3m</v>
      </c>
      <c r="C2432" s="185" t="e">
        <f t="shared" si="75"/>
        <v>#N/A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IC-sín alsó fehér 3m</v>
      </c>
      <c r="C2433" s="185" t="e">
        <f t="shared" si="75"/>
        <v>#N/A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vezető profil fehér 2,4m</v>
      </c>
      <c r="C2434" s="185" t="e">
        <f t="shared" si="75"/>
        <v>#N/A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IC-fogantyú profil Rome 10mm alu EU pezsgő 5,3m</v>
      </c>
      <c r="C2435" s="185" t="e">
        <f t="shared" si="75"/>
        <v>#N/A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 04535 Universal 18 fogantyú profil 2,7m ezüst</v>
      </c>
      <c r="C2437" s="185">
        <f t="shared" si="77"/>
        <v>6470.1591200000003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 00490 Focus 18mm fogantyú profil 2,7m ezüst</v>
      </c>
      <c r="C2438" s="185">
        <f t="shared" si="77"/>
        <v>2604.08887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Gemini felső vezetés 1,7m arany</v>
      </c>
      <c r="C2439" s="185">
        <f t="shared" si="77"/>
        <v>6810.6939700000003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felső vezetés 1,7m oliva</v>
      </c>
      <c r="C2440" s="185">
        <f t="shared" si="77"/>
        <v>6810.6939700000003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felső vezetés 1,7m ezüst</v>
      </c>
      <c r="C2441" s="185">
        <f t="shared" si="77"/>
        <v>5448.5553399999999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Gemini felső vezetés 2,35m arany</v>
      </c>
      <c r="C2442" s="185">
        <f t="shared" si="77"/>
        <v>9414.7828399999999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felső vezetés 2,35m oliva</v>
      </c>
      <c r="C2443" s="185">
        <f t="shared" si="77"/>
        <v>9414.7828399999999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felső vezetés 2,35m ezüst</v>
      </c>
      <c r="C2444" s="185">
        <f t="shared" si="77"/>
        <v>7521.8103799999999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Gemini felső vezetés 3m arany</v>
      </c>
      <c r="C2445" s="185">
        <f t="shared" si="77"/>
        <v>12018.8717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felső vezetés 3m oliva</v>
      </c>
      <c r="C2446" s="185">
        <f t="shared" si="77"/>
        <v>12018.8717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 01026 Gemini felső sín 3m, ezüst</v>
      </c>
      <c r="C2447" s="185">
        <f t="shared" si="77"/>
        <v>9605.0817900000002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Gemini felső vezetés 4,05m arany</v>
      </c>
      <c r="C2448" s="185">
        <f t="shared" si="77"/>
        <v>16225.4768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felső vezetés 4,05m oliva</v>
      </c>
      <c r="C2449" s="185">
        <f t="shared" si="77"/>
        <v>16225.4768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felső vezetés 4,05m ezüst</v>
      </c>
      <c r="C2450" s="185">
        <f t="shared" si="77"/>
        <v>12960.35014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alsó vezetés 1,7m arany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alsó vezetés 1,7m oliva</v>
      </c>
      <c r="C2452" s="185" t="e">
        <f t="shared" si="77"/>
        <v>#N/A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alsó vezetés 1,7m ezüst</v>
      </c>
      <c r="C2453" s="185" t="e">
        <f t="shared" si="77"/>
        <v>#N/A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Cleft alsó vezetés 3m arany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Cleft alsó vezetés 4,05m arany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támfalas kefe öntapadó 6,7x4mm szürke</v>
      </c>
      <c r="C2456" s="185">
        <f t="shared" si="77"/>
        <v>89.639870000000002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szögletvas Mini 17x11mm 1,7m arany</v>
      </c>
      <c r="C2457" s="185">
        <f t="shared" si="77"/>
        <v>1181.85564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szögletvas Mini 17x11mm 1,7m oliva</v>
      </c>
      <c r="C2458" s="185">
        <f t="shared" si="77"/>
        <v>1181.85564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szögletvas Mini 17x11mm 1,7m ezüst</v>
      </c>
      <c r="C2459" s="185">
        <f t="shared" si="77"/>
        <v>941.47843999999998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szögletvas Mini 17x11mm 2,35m arany</v>
      </c>
      <c r="C2460" s="185">
        <f t="shared" si="77"/>
        <v>1632.56332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 00094 szögletvas Mini 17x11mm 2,35m oliva</v>
      </c>
      <c r="C2461" s="185">
        <f t="shared" si="77"/>
        <v>1632.56332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szögletvas Mini 17x11mm 2,35m ezüst</v>
      </c>
      <c r="C2462" s="185">
        <f t="shared" si="77"/>
        <v>1302.0444299999999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szögletvas Mini 17x11mm 3m arany</v>
      </c>
      <c r="C2463" s="185">
        <f t="shared" si="77"/>
        <v>2073.2554399999999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szögletvas Mini 17x11mm 3m oliva</v>
      </c>
      <c r="C2464" s="185">
        <f t="shared" si="77"/>
        <v>2073.2554399999999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szögletvas Mini 17x11mm 3m ezüst</v>
      </c>
      <c r="C2465" s="185">
        <f t="shared" si="77"/>
        <v>1662.61043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felső/alsó vezetés 1,7m ezüst elox</v>
      </c>
      <c r="C2466" s="185">
        <f t="shared" si="77"/>
        <v>1292.0288700000001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felső/alsó vezetés 2,35m ezüst elox</v>
      </c>
      <c r="C2467" s="185">
        <f t="shared" si="77"/>
        <v>1792.81519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 Micra felső/alsó vezetés 3m ezüst elox</v>
      </c>
      <c r="C2468" s="185">
        <f t="shared" si="77"/>
        <v>2283.58554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felső/alsó vezetés 1,7m nyers</v>
      </c>
      <c r="C2469" s="185">
        <f t="shared" si="77"/>
        <v>1001.57265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SEVROLL50235  Micra felső/alsó vezetés 2,35m nyers</v>
      </c>
      <c r="C2470" s="185">
        <f t="shared" si="77"/>
        <v>1392.18614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felső/alsó vezetés 3m nyers</v>
      </c>
      <c r="C2471" s="185">
        <f t="shared" si="77"/>
        <v>1772.7836600000001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takaró profil Cleft 1,7m arany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takaró profil Cleft 2,35m arany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takaró profil Cleft 2,35m ezüst</v>
      </c>
      <c r="C2474" s="185" t="e">
        <f t="shared" si="77"/>
        <v>#N/A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takaró profil Cleft 3m arany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 összekötő profil "T" 3m oliva</v>
      </c>
      <c r="C2476" s="185">
        <f t="shared" si="77"/>
        <v>4567.1710700000003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007060 összekötő profil "T" 3m ezüst</v>
      </c>
      <c r="C2477" s="185">
        <f t="shared" si="77"/>
        <v>3715.8343500000001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alsó takaró profil 3m 10mm ezüst</v>
      </c>
      <c r="C2478" s="185">
        <f t="shared" si="77"/>
        <v>9965.6477799999993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alsó takaró profil 3m 10mm oliva</v>
      </c>
      <c r="C2479" s="185">
        <f t="shared" si="77"/>
        <v>12179.123159999999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 00162 alsó takaró profil 2,35m 10mm ezüst</v>
      </c>
      <c r="C2480" s="185">
        <f t="shared" si="77"/>
        <v>7792.2350699999997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alsó takaró profil 2,35m 10mm oliva</v>
      </c>
      <c r="C2481" s="185">
        <f t="shared" si="77"/>
        <v>9514.9400999999998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alsó takaró profil 1,7m 10mm ezüst</v>
      </c>
      <c r="C2482" s="185">
        <f t="shared" si="77"/>
        <v>5638.8538900000003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 alsó takaró profil 1,7m 10mm oliva</v>
      </c>
      <c r="C2483" s="185">
        <f t="shared" si="77"/>
        <v>6900.83565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felső vezető profil 1,7m ezüst</v>
      </c>
      <c r="C2484" s="185">
        <f t="shared" si="77"/>
        <v>3104.87518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felső vezető profil 1,7m oliva</v>
      </c>
      <c r="C2485" s="185">
        <f t="shared" si="77"/>
        <v>3705.8187600000001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felső vezető profil 2,35m ezüst</v>
      </c>
      <c r="C2486" s="185">
        <f t="shared" si="77"/>
        <v>4296.7467900000001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felső vezető profil 2,35m oliva</v>
      </c>
      <c r="C2487" s="185">
        <f t="shared" si="77"/>
        <v>5138.0675700000002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felső vezető profil 3m ezüst</v>
      </c>
      <c r="C2488" s="185">
        <f t="shared" si="77"/>
        <v>5488.6179899999997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felső vezető profil 3m oliva</v>
      </c>
      <c r="C2489" s="185">
        <f t="shared" si="77"/>
        <v>6560.3008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összekötő profil H10 3m ezüst</v>
      </c>
      <c r="C2490" s="185">
        <f t="shared" si="77"/>
        <v>4687.3598899999997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összekötő profil H10 3m oliva</v>
      </c>
      <c r="C2491" s="185">
        <f t="shared" si="77"/>
        <v>5859.1999500000002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SEVROLL20031  tömítés üvegre 10/4mm</v>
      </c>
      <c r="C2492" s="185">
        <f t="shared" si="77"/>
        <v>317.79295000000002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 tömítés üvegre 10/6mm</v>
      </c>
      <c r="C2493" s="185">
        <f t="shared" si="77"/>
        <v>317.79295000000002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SEVROLL20001  csavar 6,3x32 SEVROLL a Simple</v>
      </c>
      <c r="C2494" s="185">
        <f t="shared" si="77"/>
        <v>61.50817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takaró profil Cleft 4,05m arany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Focus 16mm fogantyú profil 2,7m oliva</v>
      </c>
      <c r="C2496" s="185">
        <f t="shared" si="77"/>
        <v>3255.1110800000001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Focus 16mm fogantyú profil 2,7m ezüst</v>
      </c>
      <c r="C2497" s="185">
        <f t="shared" si="77"/>
        <v>2604.08887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felső vezető profile 1,7m arany</v>
      </c>
      <c r="C2498" s="185">
        <f t="shared" si="77"/>
        <v>3705.8187600000001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felső vezető profil 2,35m arany</v>
      </c>
      <c r="C2499" s="185">
        <f t="shared" si="77"/>
        <v>5138.0675700000002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felső vezető profil 3m arany</v>
      </c>
      <c r="C2500" s="185">
        <f t="shared" ref="C2500:C2563" si="79">IF($A$2=1,H2500,IF($A$2=2,I2500,IF($A$2=3,J2500,IF($A$2=4,K2500,IF($A$2&gt;4,O2500,"zadat jazyk")))))</f>
        <v>6560.3008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alsó takaró profil 2,35m 10mm arany</v>
      </c>
      <c r="C2501" s="185">
        <f t="shared" si="79"/>
        <v>9514.9400999999998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alsó takaró profil 1,7m 10mm arany</v>
      </c>
      <c r="C2502" s="185">
        <f t="shared" si="79"/>
        <v>6900.83565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alsó takaró profil 3m 10mm arany</v>
      </c>
      <c r="C2503" s="185">
        <f t="shared" si="79"/>
        <v>12179.123159999999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összekötő profil H10 3m arany</v>
      </c>
      <c r="C2504" s="185">
        <f t="shared" si="79"/>
        <v>5859.1999500000002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 "U" profil rétegelt lemezhez 18mm 3m ezüst</v>
      </c>
      <c r="C2505" s="185">
        <f t="shared" si="79"/>
        <v>1832.8778600000001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fogantyú profil 18mm 2,7m oliva</v>
      </c>
      <c r="C2506" s="185">
        <f t="shared" si="79"/>
        <v>7271.4172099999996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 00639 Tytan fogantyú profil 18mm 2,7m ezüst</v>
      </c>
      <c r="C2507" s="185">
        <f t="shared" si="79"/>
        <v>5979.3887400000003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profil "U" Decor 16 mm-es rétegelt lemezhez 3m ezüst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"U" profil rétegelt lemezhez 18mm 3m oliva</v>
      </c>
      <c r="C2509" s="185">
        <f t="shared" si="79"/>
        <v>2293.6015000000002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"U" profil rétegelt lemezhez 18mm 3m arany</v>
      </c>
      <c r="C2510" s="185">
        <f t="shared" si="79"/>
        <v>2293.6015000000002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támfalas kefe öntapadó 4,8x4mm</v>
      </c>
      <c r="C2511" s="185">
        <f t="shared" si="79"/>
        <v>81.360140000000001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összekötő profil H30 3m oliva</v>
      </c>
      <c r="C2512" s="185">
        <f t="shared" si="79"/>
        <v>10566.59137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 összekötő profil H30 3m ezüst</v>
      </c>
      <c r="C2513" s="185">
        <f t="shared" si="79"/>
        <v>8663.6033499999994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szögletvas K2 Decor 1,7m ezüst</v>
      </c>
      <c r="C2514" s="185">
        <f t="shared" si="79"/>
        <v>1322.0759599999999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szögletvas K2 Decor 1,7m oliva</v>
      </c>
      <c r="C2515" s="185">
        <f t="shared" si="79"/>
        <v>1652.5948699999999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szögletvas K2 Decor 2,35m ezüst</v>
      </c>
      <c r="C2516" s="185">
        <f t="shared" si="79"/>
        <v>1832.8778600000001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szögletvas K2 Decor 2,35m arany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 00070 szögletvas K2 Decor 2,35m oliva</v>
      </c>
      <c r="C2518" s="185">
        <f t="shared" si="79"/>
        <v>2293.6015000000002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szögletvas K2 Decor 3m ezüst</v>
      </c>
      <c r="C2519" s="185">
        <f t="shared" si="79"/>
        <v>2343.6801399999999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 00071 szögletvas K2 Decor 3m oliva</v>
      </c>
      <c r="C2520" s="185">
        <f t="shared" si="79"/>
        <v>2914.5762300000001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összekötő profil H18 3m ezüst</v>
      </c>
      <c r="C2521" s="185">
        <f t="shared" si="79"/>
        <v>4617.2497100000001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összekötő profil H18 3m arany</v>
      </c>
      <c r="C2522" s="185">
        <f t="shared" si="79"/>
        <v>5769.0582599999998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összekötő profil H18 3m oliva</v>
      </c>
      <c r="C2523" s="185">
        <f t="shared" si="79"/>
        <v>5769.0582599999998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01373összekötő profil T Decor 3m ezüst</v>
      </c>
      <c r="C2524" s="185">
        <f t="shared" si="79"/>
        <v>3585.62997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összekötő profil T Decor 3m oliva</v>
      </c>
      <c r="C2525" s="185">
        <f t="shared" si="79"/>
        <v>4487.0453600000001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 00036 profil "U" Decor 18mm 3m ezüst</v>
      </c>
      <c r="C2526" s="185">
        <f t="shared" si="79"/>
        <v>2744.3092099999999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profil "U" Decor 18mm 3m oliva</v>
      </c>
      <c r="C2527" s="185">
        <f t="shared" si="79"/>
        <v>3435.3940899999998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porfogó kefe becsúsztatható 4,8x13mm</v>
      </c>
      <c r="C2528" s="185">
        <f t="shared" si="79"/>
        <v>90.9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fogantyú profil 2,7m ezüst (22/1)</v>
      </c>
      <c r="C2529" s="185">
        <f t="shared" si="79"/>
        <v>7541.8419000000004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fogantyú profil 2,7m ezüst (32/1)</v>
      </c>
      <c r="C2530" s="185" t="e">
        <f t="shared" si="79"/>
        <v>#N/A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 felső vezetés 1,8m ezüst (32/1)</v>
      </c>
      <c r="C2531" s="185">
        <f t="shared" si="79"/>
        <v>8182.8485600000004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 felső vezetés 2,7m ezüst (32/1)</v>
      </c>
      <c r="C2532" s="185">
        <f t="shared" si="79"/>
        <v>14122.17425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 felső vezetés 3,6m ezüst (32/1)</v>
      </c>
      <c r="C2533" s="185" t="e">
        <f t="shared" si="79"/>
        <v>#N/A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 alsó vezetés 1,8m ezüst (22/1)</v>
      </c>
      <c r="C2534" s="185" t="e">
        <f t="shared" si="79"/>
        <v>#N/A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 alsó vezetés 2,7m ezüst (22/1)</v>
      </c>
      <c r="C2535" s="185" t="e">
        <f t="shared" si="79"/>
        <v>#N/A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 alsó vezetés 3,6m ezüst (22/1)</v>
      </c>
      <c r="C2536" s="185">
        <f t="shared" si="79"/>
        <v>8533.3989999999994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 szögletvas 1,8m ezüst (22/1)</v>
      </c>
      <c r="C2537" s="185" t="e">
        <f t="shared" si="79"/>
        <v>#N/A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szögletvas 2,7m ezüst (22/1)</v>
      </c>
      <c r="C2538" s="185">
        <f t="shared" si="79"/>
        <v>3064.8121299999998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 szögletvas 3,6m ezüst (22/1)</v>
      </c>
      <c r="C2539" s="185" t="e">
        <f t="shared" si="79"/>
        <v>#N/A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összekötő H08 profil 3m ezüst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csavar 2,5x18mm</v>
      </c>
      <c r="C2541" s="185">
        <f t="shared" si="79"/>
        <v>11.584149999999999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ZR18 szett szétnyíló ajtóhoz</v>
      </c>
      <c r="C2542" s="185">
        <f t="shared" si="79"/>
        <v>10947.188889999999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Herkules 2 felső vezetés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Herkules-szinkr.mechan. 2x50kg-ra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Herkules 2 felső vezetés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First felső/alsó sín 1,8m ezüst</v>
      </c>
      <c r="C2546" s="185">
        <f t="shared" si="79"/>
        <v>3054.79655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Single felső vezetés 1,7m oliva</v>
      </c>
      <c r="C2547" s="185">
        <f t="shared" si="79"/>
        <v>6883.3569299999999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  01255 Single felső vezetés 1,7m ezüst</v>
      </c>
      <c r="C2548" s="185">
        <f t="shared" si="79"/>
        <v>5646.1202800000001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Single felső vezetés 2,35m oliva</v>
      </c>
      <c r="C2549" s="185">
        <f t="shared" si="79"/>
        <v>9505.12068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 01256  Single felső vezetés 2,35m ezüst</v>
      </c>
      <c r="C2550" s="185">
        <f t="shared" si="79"/>
        <v>7796.5558300000002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Single felső vezetés 3m oliva</v>
      </c>
      <c r="C2551" s="185">
        <f t="shared" si="79"/>
        <v>12136.70363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 01257  Single felső vezetés 3m ezüst</v>
      </c>
      <c r="C2552" s="185">
        <f t="shared" si="79"/>
        <v>9966.6297300000006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szett szétnyíló ajtóhoz</v>
      </c>
      <c r="C2553" s="185">
        <f t="shared" si="79"/>
        <v>8012.5811299999996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alsó vezetés 1,7m oliva</v>
      </c>
      <c r="C2554" s="185">
        <f t="shared" si="79"/>
        <v>1822.8623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 01135 Smart alsó vezetés 1,7m ezüst</v>
      </c>
      <c r="C2555" s="185">
        <f t="shared" si="79"/>
        <v>1502.35897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alsó vezetés 2,35m oliva</v>
      </c>
      <c r="C2556" s="185">
        <f t="shared" si="79"/>
        <v>2513.9471800000001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alsó vezetés 2,35m ezüst</v>
      </c>
      <c r="C2557" s="185">
        <f t="shared" si="79"/>
        <v>2063.2394800000002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alsó vezetés 3m oliva</v>
      </c>
      <c r="C2558" s="185">
        <f t="shared" si="79"/>
        <v>3195.0168899999999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alsó vezetés 3m ezüst</v>
      </c>
      <c r="C2559" s="185">
        <f t="shared" si="79"/>
        <v>2614.1044200000001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Elegant II alsó vezetés 1,7m arany</v>
      </c>
      <c r="C2560" s="185">
        <f t="shared" si="79"/>
        <v>4006.2905700000001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alsó vezetés 1,7m ezüst</v>
      </c>
      <c r="C2561" s="185">
        <f t="shared" si="79"/>
        <v>3205.0324500000002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alsó vezetés 2,35m arany</v>
      </c>
      <c r="C2562" s="185">
        <f t="shared" si="79"/>
        <v>5528.6810599999999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alsó vezetés 2,35m oliva</v>
      </c>
      <c r="C2563" s="185">
        <f t="shared" si="79"/>
        <v>5528.6810599999999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alsó vezetés 2,35m ezüst</v>
      </c>
      <c r="C2564" s="185">
        <f t="shared" ref="C2564:C2627" si="81">IF($A$2=1,H2564,IF($A$2=2,I2564,IF($A$2=3,J2564,IF($A$2=4,K2564,IF($A$2&gt;4,O2564,"zadat jazyk")))))</f>
        <v>4416.9351999999999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alsó vezetés 3m arany</v>
      </c>
      <c r="C2565" s="185">
        <f t="shared" si="81"/>
        <v>0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alsó vezetés 3m oliva</v>
      </c>
      <c r="C2566" s="185">
        <f t="shared" si="81"/>
        <v>7061.0871100000004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alsó vezetés 3m ezüst</v>
      </c>
      <c r="C2567" s="185">
        <f t="shared" si="81"/>
        <v>5608.8068000000003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Elegant II alsó vezetés 4,05m arany</v>
      </c>
      <c r="C2568" s="185" t="e">
        <f t="shared" si="81"/>
        <v>#N/A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alsó vezetés 4,05m oliva</v>
      </c>
      <c r="C2569" s="185">
        <f t="shared" si="81"/>
        <v>9534.97163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 Elegant II alsó vezetés 4,05m ezüst</v>
      </c>
      <c r="C2570" s="185">
        <f t="shared" si="81"/>
        <v>7601.9364999999998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"U" profil rétegelt lemezhez 16mm 3m oliva</v>
      </c>
      <c r="C2571" s="185">
        <f t="shared" si="81"/>
        <v>2904.5606699999998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felső görgő 10mm aszimmetrikus J+B</v>
      </c>
      <c r="C2572" s="185">
        <f t="shared" si="81"/>
        <v>2204.04898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finomállító HI-TEC alsó görgőhöz</v>
      </c>
      <c r="C2573" s="185">
        <f t="shared" si="81"/>
        <v>123.01676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felső görgő</v>
      </c>
      <c r="C2574" s="185">
        <f t="shared" si="81"/>
        <v>625.33465000000001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alsó görgő</v>
      </c>
      <c r="C2575" s="185">
        <f t="shared" si="81"/>
        <v>625.33465000000001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alsó vezetés 1,7m ezüst</v>
      </c>
      <c r="C2576" s="185">
        <f t="shared" si="81"/>
        <v>3114.8907599999998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alsó vezetés 3m ezüst</v>
      </c>
      <c r="C2577" s="185">
        <f t="shared" si="81"/>
        <v>5498.6339500000004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felső vezetés 1,8m ezüst</v>
      </c>
      <c r="C2578" s="185" t="e">
        <f t="shared" si="81"/>
        <v>#N/A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betét takaró profilhoz 2,8m</v>
      </c>
      <c r="C2579" s="185" t="e">
        <f t="shared" si="81"/>
        <v>#N/A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First felső/alsó vezetés 1,2m ezüst</v>
      </c>
      <c r="C2580" s="185" t="e">
        <f t="shared" si="81"/>
        <v>#N/A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vasalat szett ZPE-10 II</v>
      </c>
      <c r="C2581" s="185">
        <f t="shared" si="81"/>
        <v>14994.13168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Exclusive fék gumi felső</v>
      </c>
      <c r="C2582" s="185" t="e">
        <f t="shared" si="81"/>
        <v>#N/A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Exclusive fék gömbölyű alsó</v>
      </c>
      <c r="C2583" s="185">
        <f t="shared" si="81"/>
        <v>441.87027999999998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felső görgő 10mm J+B</v>
      </c>
      <c r="C2584" s="185">
        <f t="shared" si="81"/>
        <v>2726.8697200000001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First felső/alsó vezetés 1,2m oliva</v>
      </c>
      <c r="C2585" s="185" t="e">
        <f t="shared" si="81"/>
        <v>#N/A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tömítés üvegre 18/4-4,5mm aszimmetrikus</v>
      </c>
      <c r="C2586" s="185">
        <f t="shared" si="81"/>
        <v>908.27302999999995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vasalat szett 2 ajtóra 1,8m ezüst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összekötő profil H25 1,8m ezüst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 04382 Fox II fogantyú profil 2,7m ezüst</v>
      </c>
      <c r="C2589" s="185">
        <f t="shared" si="81"/>
        <v>6460.1435300000003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vasalat szett harmonika ajtóhoz 1200mm ezüst</v>
      </c>
      <c r="C2590" s="185" t="e">
        <f t="shared" si="81"/>
        <v>#N/A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alsó vezetés 2,35m ezüst</v>
      </c>
      <c r="C2591" s="185">
        <f t="shared" si="81"/>
        <v>4306.7623700000004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alsó vezetés 4,05m ezüst</v>
      </c>
      <c r="C2592" s="185">
        <f t="shared" si="81"/>
        <v>7421.6531100000002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alsó görgő WD 18C HI-TEC</v>
      </c>
      <c r="C2593" s="185" t="e">
        <f t="shared" si="81"/>
        <v>#N/A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fogantyú profil 2,7m ezüst</v>
      </c>
      <c r="C2594" s="185" t="e">
        <f t="shared" si="81"/>
        <v>#N/A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vasalat szett 1 ajtószárnyra</v>
      </c>
      <c r="C2595" s="185">
        <f t="shared" si="81"/>
        <v>2443.8374100000001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támfalas kefe becsúsztatható 14x4mm szürke</v>
      </c>
      <c r="C2596" s="185">
        <f t="shared" si="81"/>
        <v>97.2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 02284 Gemini-2 fogantyú profil 2,7m ezüst</v>
      </c>
      <c r="C2597" s="185">
        <f t="shared" si="81"/>
        <v>7271.4172099999996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 02283 Gemini-2 fogantyú profil 2,7m oliva</v>
      </c>
      <c r="C2598" s="185">
        <f t="shared" si="81"/>
        <v>9094.2795100000003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Gemini-2 fogantyú profil 2,7m arany</v>
      </c>
      <c r="C2599" s="185" t="e">
        <f t="shared" si="81"/>
        <v>#N/A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 02287 System 10 II fogantyú profil 2,7m ezüst</v>
      </c>
      <c r="C2600" s="185">
        <f t="shared" si="81"/>
        <v>7271.4172099999996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fogantyú profil 2,7m oliva</v>
      </c>
      <c r="C2601" s="185">
        <f t="shared" si="81"/>
        <v>9054.2168399999991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fogantyú profil 2,7m arany</v>
      </c>
      <c r="C2602" s="185">
        <f t="shared" si="81"/>
        <v>9054.2168399999991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 04377 Fox II fogantyú profil 2,7m oliva</v>
      </c>
      <c r="C2603" s="185">
        <f t="shared" si="81"/>
        <v>8002.5655800000004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II fogantyú profil 2,7m arany</v>
      </c>
      <c r="C2604" s="185">
        <f t="shared" si="81"/>
        <v>8002.5655800000004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 Fox II fogantyú profil 2,7m oliva szálcsiszolt</v>
      </c>
      <c r="C2605" s="185">
        <f t="shared" si="81"/>
        <v>9685.2075299999997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vezető profil 3m ezüst</v>
      </c>
      <c r="C2606" s="185">
        <f t="shared" si="81"/>
        <v>9855.4749599999996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SEVROLL10089  Everest görgő ferde ajtószárnyra - 2db</v>
      </c>
      <c r="C2607" s="185">
        <f t="shared" si="81"/>
        <v>7955.0789299999997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felső vezetés 3m ezüst</v>
      </c>
      <c r="C2608" s="185">
        <f t="shared" si="81"/>
        <v>12283.993700000001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felső vezető profil4,05m ezüst</v>
      </c>
      <c r="C2609" s="185">
        <f t="shared" si="81"/>
        <v>27563.279180000001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alsó vezetés 4,05m ezüst</v>
      </c>
      <c r="C2610" s="185" t="e">
        <f t="shared" si="81"/>
        <v>#N/A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SEVROLL10203  Comfort felső görgő 18mm - 2db</v>
      </c>
      <c r="C2611" s="185">
        <f t="shared" si="81"/>
        <v>2839.63526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alsó vezető profil 4,05m ezüst</v>
      </c>
      <c r="C2612" s="185">
        <f t="shared" si="81"/>
        <v>13280.853059999999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Comfort felső vezetés 1,7m ezüst</v>
      </c>
      <c r="C2613" s="185">
        <f t="shared" si="81"/>
        <v>11578.17958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felső vezetés 1,7m oliva</v>
      </c>
      <c r="C2614" s="185">
        <f t="shared" si="81"/>
        <v>14452.693139999999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Comfort felső vezetés 2,35m oliva</v>
      </c>
      <c r="C2615" s="185">
        <f t="shared" si="81"/>
        <v>19981.374199999998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Comfort felső vezetés 3m oliva</v>
      </c>
      <c r="C2616" s="185">
        <f t="shared" si="81"/>
        <v>25510.055260000001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Comfort felső vezetés 4,05m oliva</v>
      </c>
      <c r="C2617" s="185">
        <f t="shared" si="81"/>
        <v>34434.067340000001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02067 Maxim vasalat szett 3 ajtóra 2,5m ezüst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fogantyú profil 2,7m ezüst</v>
      </c>
      <c r="C2619" s="185">
        <f t="shared" si="81"/>
        <v>9705.2390599999999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fogantyú profil 2,7m oliva</v>
      </c>
      <c r="C2620" s="185">
        <f t="shared" si="81"/>
        <v>12129.044529999999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 02379 Master fogantyú profil 3m ezüst</v>
      </c>
      <c r="C2621" s="185">
        <f t="shared" si="81"/>
        <v>10786.93743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fogantyú profil 3m oliva</v>
      </c>
      <c r="C2622" s="185">
        <f t="shared" si="81"/>
        <v>13481.167589999999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SEVROLL02021 Maxim vezető profil 1,8m ezüst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02022 Maxim vezető profil 2,5m ezüst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02301 Maxim vezető profil 3,5m ezüst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02305  Maxim vezető profil 4,3m ezüst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alsó takaró profil 1,8m 18mm ezüst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02809 Maxim alsó takaró profil 2,5m 18mm ezüst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02811 Maxim alsó takaró profil 3,5m 18mm ezüst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02801 Maxim alsó takaró profil 4,3m 18mm ezüst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01884 Maxim összekötő profil H25 2,5m ezüst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összekötő profil H18 1,8m ezüst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összekötő profil H18 2,5m ezüst</v>
      </c>
      <c r="C2633" s="185" t="e">
        <f t="shared" si="83"/>
        <v>#N/A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felső vezetés 1,8m ezüst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 02024 Maxim felső vezetés 2,5m ezüst</v>
      </c>
      <c r="C2635" s="185">
        <f t="shared" si="83"/>
        <v>11307.755289999999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felső vezetés 3,5m ezüst</v>
      </c>
      <c r="C2636" s="185" t="e">
        <f t="shared" si="83"/>
        <v>#N/A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felső vezetés 4,3m ezüst</v>
      </c>
      <c r="C2637" s="185" t="e">
        <f t="shared" si="83"/>
        <v>#N/A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felső vezető profil 1,7m oliva szálcsiszolt</v>
      </c>
      <c r="C2638" s="185">
        <f t="shared" si="83"/>
        <v>5047.9262699999999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felső vezető profil 2,35m oliva szálcsiszolt</v>
      </c>
      <c r="C2639" s="185">
        <f t="shared" si="83"/>
        <v>7000.9929199999997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felső vezető profil 3m oliva szálcsiszolt</v>
      </c>
      <c r="C2640" s="185">
        <f t="shared" si="83"/>
        <v>8924.0120800000004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alsó takaró profil 1,7m 10mm oliva szálcsiszolt</v>
      </c>
      <c r="C2641" s="185">
        <f t="shared" si="83"/>
        <v>8573.4616399999995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 alsó takaró profil 2,35m 10mm oliva szálcsiszolt</v>
      </c>
      <c r="C2642" s="185">
        <f t="shared" si="83"/>
        <v>11868.6358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alsó takaró profil 3m 10mm oliva szálcsiszolt</v>
      </c>
      <c r="C2643" s="185">
        <f t="shared" si="83"/>
        <v>15163.809960000001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felső vezetés 1,7m oliva szálcsiszolt</v>
      </c>
      <c r="C2644" s="185">
        <f t="shared" si="83"/>
        <v>9364.7042000000001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Exclusive felső vezetés 3m oliva</v>
      </c>
      <c r="C2645" s="185">
        <f t="shared" si="83"/>
        <v>14905.75748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felső vezetés 2,35m oliva szálcsiszolt</v>
      </c>
      <c r="C2646" s="185">
        <f t="shared" si="83"/>
        <v>12940.31861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felső vezetés 3m oliva szálcsiszolt</v>
      </c>
      <c r="C2647" s="185">
        <f t="shared" si="83"/>
        <v>16515.93302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  02500-Y Gemini felső vezetés 4,05m oliva szálcsiszolt</v>
      </c>
      <c r="C2648" s="185">
        <f t="shared" si="83"/>
        <v>22295.006850000002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 04333-Y Elegant II alsó vezetés 1,7m oliva szálcsiszolt</v>
      </c>
      <c r="C2649" s="185">
        <f t="shared" si="83"/>
        <v>5979.3887400000003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alsó vezetés 2,35m oliva szálcsiszolt</v>
      </c>
      <c r="C2650" s="185">
        <f t="shared" si="83"/>
        <v>8262.9742999999999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alsó vezetés 3m oliva szálcsiszolt</v>
      </c>
      <c r="C2651" s="185">
        <f t="shared" si="83"/>
        <v>10546.55984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 Elegant II alsó vezetés 4,05m oliva szálcsiszolt</v>
      </c>
      <c r="C2652" s="185">
        <f t="shared" si="83"/>
        <v>14242.36305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összekötő profil H10 3m oliva szálcsiszolt</v>
      </c>
      <c r="C2653" s="185">
        <f t="shared" si="83"/>
        <v>8323.0684999999994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vasalat szett ZSE-10</v>
      </c>
      <c r="C2654" s="185" t="e">
        <f t="shared" si="83"/>
        <v>#N/A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Exclusive felső vezetés 1,2m ezüst</v>
      </c>
      <c r="C2655" s="185" t="e">
        <f t="shared" si="83"/>
        <v>#N/A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fúró fokozatos 6,5/9,5mm</v>
      </c>
      <c r="C2656" s="185">
        <f t="shared" si="83"/>
        <v>10898.66318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szerelő eszköz 10 mm-es rétegelt lemezre nagy</v>
      </c>
      <c r="C2657" s="185">
        <f t="shared" si="83"/>
        <v>47232.767570000004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szerelő eszköz 10 mm-es rétegelt lemezre kicsi</v>
      </c>
      <c r="C2658" s="185">
        <f t="shared" si="83"/>
        <v>4493.0024999999996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Prince 02 fogantyú profil 2,7m ezüst</v>
      </c>
      <c r="C2659" s="185" t="e">
        <f t="shared" si="83"/>
        <v>#N/A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összekötő profil T04 3m ezüst</v>
      </c>
      <c r="C2660" s="185">
        <f t="shared" si="83"/>
        <v>2764.34033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összekötő profil H04/18 3m oliva</v>
      </c>
      <c r="C2661" s="185">
        <f t="shared" si="83"/>
        <v>3996.2750099999998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Comfort alsó vezetés 1,7m ezüst</v>
      </c>
      <c r="C2662" s="185" t="e">
        <f t="shared" si="83"/>
        <v>#N/A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SEVROLL20171 tömítés üvegre 10,1/8mm</v>
      </c>
      <c r="C2663" s="185">
        <f t="shared" si="83"/>
        <v>317.79295000000002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alsó görgő WD10 V Duo 60kg</v>
      </c>
      <c r="C2664" s="185" t="e">
        <f t="shared" si="83"/>
        <v>#N/A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WIL.RÚD TARTÓ</v>
      </c>
      <c r="C2665" s="185" t="e">
        <f t="shared" si="83"/>
        <v>#N/A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Wilson hordozó elem 2108mm ezüst</v>
      </c>
      <c r="C2666" s="185" t="e">
        <f t="shared" si="83"/>
        <v>#N/A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Wilson konzol 300mm ezüst</v>
      </c>
      <c r="C2667" s="185" t="e">
        <f t="shared" si="83"/>
        <v>#N/A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Wilson konzol 500mm ezüst</v>
      </c>
      <c r="C2668" s="185" t="e">
        <f t="shared" si="83"/>
        <v>#N/A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Wilson rúd átmérő 25mm 1,2m ezüst</v>
      </c>
      <c r="C2669" s="185" t="e">
        <f t="shared" si="83"/>
        <v>#N/A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WIL.SZERELÉSI KLIP EZÜST</v>
      </c>
      <c r="C2670" s="185" t="e">
        <f t="shared" si="83"/>
        <v>#N/A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Wilson végzáró rúdhoz</v>
      </c>
      <c r="C2671" s="185">
        <f t="shared" si="83"/>
        <v>471.56380999999999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dísz profil S20 3m ezüst</v>
      </c>
      <c r="C2672" s="185">
        <f t="shared" si="83"/>
        <v>2393.7587699999999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Ursus felső vezetés 1,8m nyers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Ursus felső vezetés 3m nyers</v>
      </c>
      <c r="C2674" s="185" t="e">
        <f t="shared" si="83"/>
        <v>#N/A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Ursus vasalat szett ZP-18 1 ajtószárnyra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felső vezetés 6m ezüst</v>
      </c>
      <c r="C2676" s="185">
        <f t="shared" si="83"/>
        <v>19200.14761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01391 Gemini felső vezetés 6m oliva</v>
      </c>
      <c r="C2677" s="185">
        <f t="shared" si="83"/>
        <v>24037.743399999999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Gemini felső vezetés 6m arany</v>
      </c>
      <c r="C2678" s="185">
        <f t="shared" si="83"/>
        <v>24037.743399999999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alsó vezetés 6m ezüst</v>
      </c>
      <c r="C2679" s="185" t="e">
        <f t="shared" si="83"/>
        <v>#N/A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takaró profil Cleft 6m ezüst</v>
      </c>
      <c r="C2680" s="185">
        <f t="shared" si="83"/>
        <v>1464.5577000000001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fogantyú profil 2,7m ezüst</v>
      </c>
      <c r="C2681" s="185">
        <f t="shared" si="83"/>
        <v>4006.2905700000001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összekötő profil H04/18 3m ezüst</v>
      </c>
      <c r="C2682" s="185">
        <f t="shared" si="83"/>
        <v>3285.1581900000001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összekötő profil H08/18 3m oliva</v>
      </c>
      <c r="C2683" s="185">
        <f t="shared" si="83"/>
        <v>4146.5108899999996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összekötő profil H08/18 3m ezüst</v>
      </c>
      <c r="C2684" s="185">
        <f t="shared" si="83"/>
        <v>3395.3314300000002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dísz profil S20 3m oliva</v>
      </c>
      <c r="C2685" s="185">
        <f t="shared" si="83"/>
        <v>2934.6077500000001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02306  dísz profil S10 3m ezüst</v>
      </c>
      <c r="C2686" s="185">
        <f t="shared" si="83"/>
        <v>1312.05999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dísz profil S10 3m oliva</v>
      </c>
      <c r="C2687" s="185">
        <f t="shared" si="83"/>
        <v>1642.5792899999999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tömítés üvegre 10/4,5mm</v>
      </c>
      <c r="C2688" s="185">
        <f t="shared" si="83"/>
        <v>317.79295000000002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fogantyú profil 2,7m oliva</v>
      </c>
      <c r="C2689" s="185">
        <f t="shared" si="83"/>
        <v>8383.1630999999998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 Julia II fogantyú profil 2,7m ezüst</v>
      </c>
      <c r="C2690" s="185">
        <f t="shared" si="83"/>
        <v>6710.5366999999997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fogantyú profil 2,7m arany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fogantyú profil 2,7m oliva</v>
      </c>
      <c r="C2692" s="185">
        <f t="shared" ref="C2692:C2755" si="85">IF($A$2=1,H2692,IF($A$2=2,I2692,IF($A$2=3,J2692,IF($A$2=4,K2692,IF($A$2&gt;4,O2692,"zadat jazyk")))))</f>
        <v>8583.4776099999999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fogantyú profil 2,7m ezüst</v>
      </c>
      <c r="C2693" s="185">
        <f t="shared" si="85"/>
        <v>6710.5366999999997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fogantyú profil 2,7m arany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 04548 Factor 18 II fogantyú profil 2,7m oliva</v>
      </c>
      <c r="C2695" s="185">
        <f t="shared" si="85"/>
        <v>4867.6428800000003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 fogantyú profil 2,7m arany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Factor 16 II fogantyú profil 2,7m oliva</v>
      </c>
      <c r="C2697" s="185" t="e">
        <f t="shared" si="85"/>
        <v>#N/A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Factor 16 II fogantyú profil 2,7m ezüst</v>
      </c>
      <c r="C2698" s="185" t="e">
        <f t="shared" si="85"/>
        <v>#N/A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fogantyú profil 18mm 2,7m ezüst</v>
      </c>
      <c r="C2699" s="185">
        <f t="shared" si="85"/>
        <v>6349.9706999999999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fogantyú profil 18mm 2,7m oliva</v>
      </c>
      <c r="C2700" s="185">
        <f t="shared" si="85"/>
        <v>7942.4709800000001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Victoria II fog.prof.18mm 2,7m arany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fogantyú profil 2,7m ezüst</v>
      </c>
      <c r="C2702" s="185">
        <f t="shared" si="85"/>
        <v>6370.0018499999996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Minicomfort II fogantyú profil 2,7m oliva</v>
      </c>
      <c r="C2703" s="185" t="e">
        <f t="shared" si="85"/>
        <v>#N/A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fogantyú profil 2,7m ezüst</v>
      </c>
      <c r="C2704" s="185">
        <f t="shared" si="85"/>
        <v>9144.3581400000003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Comfort 18 II fogantyú profil 2,7m oliva</v>
      </c>
      <c r="C2705" s="185">
        <f t="shared" si="85"/>
        <v>11718.3999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fogantyú profil 2,7m ezüst</v>
      </c>
      <c r="C2706" s="185">
        <f t="shared" si="85"/>
        <v>10175.97788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Unicomfort II fogantyú profil 2,7m oliva</v>
      </c>
      <c r="C2707" s="185">
        <f t="shared" si="85"/>
        <v>11778.494119999999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Faworyt II fogantyú profil 2,7m oliva</v>
      </c>
      <c r="C2708" s="185">
        <f t="shared" si="85"/>
        <v>6209.7503900000002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Comfort 16 II fogantyú profil 2,7m ezüst</v>
      </c>
      <c r="C2709" s="185" t="e">
        <f t="shared" si="85"/>
        <v>#N/A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Comfort 16 II fogantyú profil 2,7m oliva</v>
      </c>
      <c r="C2710" s="185" t="e">
        <f t="shared" si="85"/>
        <v>#N/A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fogantyú profil 2,7m ezüst</v>
      </c>
      <c r="C2711" s="185">
        <f t="shared" si="85"/>
        <v>2864.4975899999999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fogantyú profil 2,7m oliva</v>
      </c>
      <c r="C2712" s="185">
        <f t="shared" si="85"/>
        <v>3585.62997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 02290 "U" profil rétegelt lemezhez 36mm ezüst 3m</v>
      </c>
      <c r="C2713" s="185">
        <f t="shared" si="85"/>
        <v>5198.1621699999996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felső vezetés 3,6m fekete szálcsiszolt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Herkules plus felső vezetés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görgő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ajtópánt 25kg</v>
      </c>
      <c r="C2717" s="185">
        <f t="shared" si="85"/>
        <v>1021.2114800000001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alsó vezetés 6m ezüst</v>
      </c>
      <c r="C2718" s="185">
        <f t="shared" si="85"/>
        <v>11007.28349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First felső/alsó vezetés 1,8m oliva</v>
      </c>
      <c r="C2719" s="185">
        <f t="shared" si="85"/>
        <v>3375.29988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takaró profil 4,05m ezüst</v>
      </c>
      <c r="C2720" s="185">
        <f t="shared" si="85"/>
        <v>4286.7308199999998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Doubler II alsó vezetés 1,7m ezüst</v>
      </c>
      <c r="C2721" s="185">
        <f t="shared" si="85"/>
        <v>5568.7437300000001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alsó vezető profil 2,35m ezüst</v>
      </c>
      <c r="C2722" s="185">
        <f t="shared" si="85"/>
        <v>7712.1093300000002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alsó vezető profil 3m ezüst</v>
      </c>
      <c r="C2723" s="185">
        <f t="shared" si="85"/>
        <v>9845.4589899999992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Doubler II alsó vezetés 6m ezüst</v>
      </c>
      <c r="C2724" s="185">
        <f t="shared" si="85"/>
        <v>19670.886839999999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Doubler II alsó vezetés 1,7m oliva</v>
      </c>
      <c r="C2725" s="185">
        <f t="shared" si="85"/>
        <v>6960.9298699999999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Doubler II alsó vezetés 2,35m oliva</v>
      </c>
      <c r="C2726" s="185">
        <f t="shared" si="85"/>
        <v>9645.1444499999998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Doubler II alsó vezetés 3m oliva</v>
      </c>
      <c r="C2727" s="185">
        <f t="shared" si="85"/>
        <v>12309.32792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Doubler II alsó vezetés 4,05m oliva</v>
      </c>
      <c r="C2728" s="185">
        <f t="shared" si="85"/>
        <v>16606.074329999999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Doubler II alsó vezetés 6m oliva</v>
      </c>
      <c r="C2729" s="185">
        <f t="shared" si="85"/>
        <v>24588.608349999999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alsó vezetés 4,05m arany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Doubler II takaró profil 1,7m ezüst</v>
      </c>
      <c r="C2731" s="185">
        <f t="shared" si="85"/>
        <v>1812.8463300000001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takaró profil 2,35m ezüst</v>
      </c>
      <c r="C2732" s="185">
        <f t="shared" si="85"/>
        <v>2493.9160400000001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takaró profil 3m ezüst</v>
      </c>
      <c r="C2733" s="185">
        <f t="shared" si="85"/>
        <v>3174.9853699999999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Doubler II takaró profil 6m ezüst</v>
      </c>
      <c r="C2734" s="185">
        <f t="shared" si="85"/>
        <v>6370.0018499999996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Doubler II takaró profil 1,7m oliva</v>
      </c>
      <c r="C2735" s="185">
        <f t="shared" si="85"/>
        <v>2193.4442399999998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Doubler II takaró profil 2,35m oliva</v>
      </c>
      <c r="C2736" s="185">
        <f t="shared" si="85"/>
        <v>3034.7650199999998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Doubler II takaró profil 3m oliva</v>
      </c>
      <c r="C2737" s="185">
        <f t="shared" si="85"/>
        <v>3876.0862200000001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Doubler II takaró profil 4,05m oliva</v>
      </c>
      <c r="C2738" s="185">
        <f t="shared" si="85"/>
        <v>5238.2248399999999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Doubler II takaró profil 6m oliva</v>
      </c>
      <c r="C2739" s="185">
        <f t="shared" si="85"/>
        <v>7752.1724100000001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takaró profil 4,3m ezüst</v>
      </c>
      <c r="C2740" s="185" t="e">
        <f t="shared" si="85"/>
        <v>#N/A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öntapadó fólia minták</v>
      </c>
      <c r="C2741" s="185" t="e">
        <f t="shared" si="85"/>
        <v>#N/A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fogantyú profil 2,7m ezüst</v>
      </c>
      <c r="C2742" s="185">
        <f t="shared" si="85"/>
        <v>4847.6117400000003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fogantyú profil 3,5m ezüst</v>
      </c>
      <c r="C2743" s="185">
        <f t="shared" si="85"/>
        <v>16185.41373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Future II fogantyú profil 3,5m oliva</v>
      </c>
      <c r="C2744" s="185">
        <f t="shared" si="85"/>
        <v>18859.61275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SEVROLL03048  Future II fogantyú profil 2,7m ezüst</v>
      </c>
      <c r="C2745" s="185">
        <f t="shared" si="85"/>
        <v>12499.626490000001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Future II fogantyú profil 2,7m oliva</v>
      </c>
      <c r="C2746" s="185">
        <f t="shared" si="85"/>
        <v>14552.850409999999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"U" profil rétegelt lemezhez 10mm 2m ezüst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"U" profil rétegelt lemezhez 10mm 3m ezüst</v>
      </c>
      <c r="C2748" s="185">
        <f t="shared" si="85"/>
        <v>1913.0035700000001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02808 Maxim II alsó vezető profil 3,5m ezüst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02802 Maxim II alsó vezető profil 4,3m ezüst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takaró profil 3,5m ezüst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Maxim II alsó vezetés 1,8m ezüst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02806 Maxim II alsó vezető profil 2,5m ezüst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Maxim II alsó vezetés 6m ezüst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Maxim II takaró profil 1,8m ezüst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takaró profil 2,5m ezüst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Maxim II takaró profil 6m ezüst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Maxim vezető profil 6m ezüst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Maxim alsó takaró profil 6m 10mm ezüst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 Everest szett Fox II fogantyú profilhoz</v>
      </c>
      <c r="C2760" s="185">
        <f t="shared" si="87"/>
        <v>20462.128990000001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SEVROLL03145  Prosper II fogantyú profil 2,7m ezüst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Hide N alsó vezetés 2,35m ezüst</v>
      </c>
      <c r="C2762" s="185">
        <f t="shared" si="87"/>
        <v>3760.8069999999998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szett Apollo 2/756</v>
      </c>
      <c r="C2763" s="185" t="e">
        <f t="shared" si="87"/>
        <v>#N/A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vasalat szett ZSE-10 Plus</v>
      </c>
      <c r="C2764" s="185">
        <f t="shared" si="87"/>
        <v>25690.338250000001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Ursus felső vezetés 1,2m nyers</v>
      </c>
      <c r="C2765" s="185" t="e">
        <f t="shared" si="87"/>
        <v>#N/A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First felső/alsó vezetés 3m ezüst</v>
      </c>
      <c r="C2766" s="185">
        <f t="shared" si="87"/>
        <v>5057.9418299999998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First felső/alsó vezetés 3m oliva</v>
      </c>
      <c r="C2767" s="185" t="e">
        <f t="shared" si="87"/>
        <v>#N/A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tömítés üvegre 18/4mm szimmetrikus</v>
      </c>
      <c r="C2768" s="185">
        <f t="shared" si="87"/>
        <v>912.37392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tömítés üvegre 18/8mm szimmetrikus</v>
      </c>
      <c r="C2769" s="185">
        <f t="shared" si="87"/>
        <v>912.37392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vasalat szett ZSE-18</v>
      </c>
      <c r="C2770" s="185" t="e">
        <f t="shared" si="87"/>
        <v>#N/A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vasalat szett ZSE-18 Plus</v>
      </c>
      <c r="C2771" s="185" t="e">
        <f t="shared" si="87"/>
        <v>#N/A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vasalat szett ZSE-18 U Plus</v>
      </c>
      <c r="C2772" s="185" t="e">
        <f t="shared" si="87"/>
        <v>#N/A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Micra felső/alsó vezetés 1,7m oliva</v>
      </c>
      <c r="C2773" s="185">
        <f t="shared" si="87"/>
        <v>1542.42202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Micra felső/alsó vezetés 2,35m oliva</v>
      </c>
      <c r="C2774" s="185">
        <f t="shared" si="87"/>
        <v>2133.3496399999999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Top felső vezetés egyszerű 3m ezüst</v>
      </c>
      <c r="C2775" s="185">
        <f t="shared" si="87"/>
        <v>12850.1769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Top felső vezetés egyszerű 3m oliva</v>
      </c>
      <c r="C2776" s="185">
        <f t="shared" si="87"/>
        <v>15624.533219999999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Top felső vezetés egyszerű 6m ezüst</v>
      </c>
      <c r="C2777" s="185">
        <f t="shared" si="87"/>
        <v>25680.322690000001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Top felső vezetés egyszerű 6m oliva</v>
      </c>
      <c r="C2778" s="185" t="e">
        <f t="shared" si="87"/>
        <v>#N/A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fogantyú profil 2,7m oliva szálcsiszolt</v>
      </c>
      <c r="C2779" s="185">
        <f t="shared" si="87"/>
        <v>9234.4998200000009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 szögletvas K2 Decor 1,7m oliva szálcsiszolt</v>
      </c>
      <c r="C2780" s="185">
        <f t="shared" si="87"/>
        <v>1882.95649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szögletvas K2 Decor 2,35m oliva szálcsiszolt</v>
      </c>
      <c r="C2781" s="185">
        <f t="shared" si="87"/>
        <v>2604.08887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 szögletvas K2 Decor 3m oliva szálcsiszolt</v>
      </c>
      <c r="C2782" s="185">
        <f t="shared" si="87"/>
        <v>3325.2212399999999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összekötő profil H18 3m oliva szálcsiszolt</v>
      </c>
      <c r="C2783" s="185">
        <f t="shared" si="87"/>
        <v>7451.7006300000003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fogantyú profil 2,7m oliva</v>
      </c>
      <c r="C2784" s="185" t="e">
        <f t="shared" si="87"/>
        <v>#N/A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 Lux III fogantyú profil 2,7m ezüst</v>
      </c>
      <c r="C2785" s="185">
        <f t="shared" si="87"/>
        <v>9524.9556599999996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támfalas kefe becsúsztatható 4,8x6mm</v>
      </c>
      <c r="C2786" s="185">
        <f t="shared" si="87"/>
        <v>54.202759999999998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Maxim felső vezetés 6m ezüst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Optima 18 fogantyú profil 2,4m ezüst</v>
      </c>
      <c r="C2788" s="185">
        <f t="shared" si="87"/>
        <v>5238.2248399999999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Optima alsó vezetés 2m nyers</v>
      </c>
      <c r="C2789" s="185">
        <f t="shared" si="87"/>
        <v>3205.0324500000002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Optima alsó vezetés 2,4m nyers</v>
      </c>
      <c r="C2790" s="185" t="e">
        <f t="shared" si="87"/>
        <v>#N/A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Optima felső vezetés 2m ezüst</v>
      </c>
      <c r="C2791" s="185">
        <f t="shared" si="87"/>
        <v>9454.8458900000005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Optima felső vezetés 2,4m ezüst</v>
      </c>
      <c r="C2792" s="185">
        <f t="shared" si="87"/>
        <v>11337.802379999999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Optima II vasalat szett (két ajtó)</v>
      </c>
      <c r="C2793" s="185">
        <f t="shared" si="87"/>
        <v>10236.072480000001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SEVROLL02581  Hide N alsó vezetés 3m ezüst</v>
      </c>
      <c r="C2794" s="185">
        <f t="shared" si="87"/>
        <v>4801.6572299999998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Hide N alsó sín 3m oliva</v>
      </c>
      <c r="C2795" s="185">
        <f t="shared" si="87"/>
        <v>5626.48153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komplett polc szett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komplett polc szett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komplett polc szett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komplett polc szett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komplett polc szett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komplett polc szett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Fox II fogantyú profil 2,7m oliva sötét szálcsiszolt</v>
      </c>
      <c r="C2802" s="185">
        <f t="shared" si="87"/>
        <v>9685.2075299999997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 Fox II fogantyú profil 2,7m fekete szálcsiszolt</v>
      </c>
      <c r="C2803" s="185">
        <f t="shared" si="87"/>
        <v>9685.2075299999997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Elegant II alsó vezetés 2,35m oliva sötét szálcsiszolt</v>
      </c>
      <c r="C2804" s="185">
        <f t="shared" si="87"/>
        <v>8262.9742999999999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 04339 Elegant II alsó vezetés 2,35m fekete szálcsiszolt</v>
      </c>
      <c r="C2805" s="185">
        <f t="shared" si="87"/>
        <v>8262.9742999999999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Elegant II alsó vezetés 4,05m oliva sötét szálcsiszolt</v>
      </c>
      <c r="C2806" s="185">
        <f t="shared" si="87"/>
        <v>14242.36305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 04341 Elegant II alsó vezetés 4,05m fekete szálcsiszolt</v>
      </c>
      <c r="C2807" s="185">
        <f t="shared" si="87"/>
        <v>14242.36305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Elegant II alsó vezetés 1,7m oliva sötét szálcsiszolt</v>
      </c>
      <c r="C2808" s="185">
        <f t="shared" si="87"/>
        <v>5979.3887400000003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 Elegant II alsó vezetés 1,7m fekete szálcsiszolt</v>
      </c>
      <c r="C2809" s="185">
        <f t="shared" si="87"/>
        <v>5979.3887400000003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Elegant II alsó vezetés 3m oliva sötét szálcsiszolt</v>
      </c>
      <c r="C2810" s="185">
        <f t="shared" si="87"/>
        <v>10546.55984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felső vezető profil 1,7m oliva sötét szálcsiszolt</v>
      </c>
      <c r="C2811" s="185">
        <f t="shared" si="87"/>
        <v>5047.9262699999999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 03097 felső vezető profil 1,7m fekete szálcsiszolt</v>
      </c>
      <c r="C2812" s="185">
        <f t="shared" si="87"/>
        <v>5047.9262699999999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felső vezető profil 2,35m oliva sötét szálcsiszolt</v>
      </c>
      <c r="C2813" s="185">
        <f t="shared" si="87"/>
        <v>7000.9929199999997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 03098 felső vezető profil 2,35m fekete szálcsiszolt</v>
      </c>
      <c r="C2814" s="185">
        <f t="shared" si="87"/>
        <v>7000.9929199999997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felső vezető profil 3m oliva sötét szálcsiszolt</v>
      </c>
      <c r="C2815" s="185">
        <f t="shared" si="87"/>
        <v>8924.0120800000004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 03099 felső vezető profil 3m fekete szálcsiszolt</v>
      </c>
      <c r="C2816" s="185">
        <f t="shared" si="87"/>
        <v>8924.0120800000004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összekötő profil H10 3m oliva sötét szálcsiszolt</v>
      </c>
      <c r="C2817" s="185" t="e">
        <f t="shared" si="87"/>
        <v>#N/A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 összekötő profil H10 3m fekete szálcsiszolt</v>
      </c>
      <c r="C2818" s="185">
        <f t="shared" si="87"/>
        <v>8323.0684999999994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Gemini felső vezetés 1,7m oliva sötét szálcsiszolt</v>
      </c>
      <c r="C2819" s="185">
        <f t="shared" si="87"/>
        <v>9364.7042000000001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felső vezetés 1,7m fekete szálcsiszolt</v>
      </c>
      <c r="C2820" s="185">
        <f t="shared" ref="C2820:C2883" si="89">IF($A$2=1,H2820,IF($A$2=2,I2820,IF($A$2=3,J2820,IF($A$2=4,K2820,IF($A$2&gt;4,O2820,"zadat jazyk")))))</f>
        <v>9364.7042000000001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Gemini felső vezetés 2,35m oliva sötét szálcsiszolt</v>
      </c>
      <c r="C2821" s="185">
        <f t="shared" si="89"/>
        <v>12940.31861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felső vezetés 2,35m fekete szálcsiszolt</v>
      </c>
      <c r="C2822" s="185">
        <f t="shared" si="89"/>
        <v>12940.31861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Gemini felső vezetés 3m oliva sötét szálcsiszolt</v>
      </c>
      <c r="C2823" s="185">
        <f t="shared" si="89"/>
        <v>16515.93302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felső vezetés 3m fekete szálcsiszolt</v>
      </c>
      <c r="C2824" s="185">
        <f t="shared" si="89"/>
        <v>16515.93302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Gemini felső vezetés 4,05m oliva sötét szálcsiszolt</v>
      </c>
      <c r="C2825" s="185">
        <f t="shared" si="89"/>
        <v>22295.006850000002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felső vezetés 4,05m fekete szálcsiszolt</v>
      </c>
      <c r="C2826" s="185">
        <f t="shared" si="89"/>
        <v>22295.006850000002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alsó takaró profil 1,7m 10mm oliva sötét szálcsiszolt</v>
      </c>
      <c r="C2827" s="185">
        <f t="shared" si="89"/>
        <v>8573.4616399999995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 03091 alsó takaró profil 1,7m 10mm fekete szálcsiszolt</v>
      </c>
      <c r="C2828" s="185">
        <f t="shared" si="89"/>
        <v>8573.4616399999995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összekötő takaró profil 2,35m oliva sötét szálcsiszolt</v>
      </c>
      <c r="C2829" s="185">
        <f t="shared" si="89"/>
        <v>11868.6358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 03092 alsó takaró profil 2,35m 10mm fekete szálcsiszolt</v>
      </c>
      <c r="C2830" s="185">
        <f t="shared" si="89"/>
        <v>11868.6358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alsó takaró profil 3m 10mm oliva sötét szálcsiszolt</v>
      </c>
      <c r="C2831" s="185">
        <f t="shared" si="89"/>
        <v>15163.809960000001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 03093 alsó takaró profil 3m 10mm fekete szálcsiszolt</v>
      </c>
      <c r="C2832" s="185">
        <f t="shared" si="89"/>
        <v>15163.809960000001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 04340 Elegant II alsó vezetés 3m fekete szálcsiszolt</v>
      </c>
      <c r="C2833" s="185">
        <f t="shared" si="89"/>
        <v>10546.55984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felső vezetés 1,2m oliva</v>
      </c>
      <c r="C2834" s="185" t="e">
        <f t="shared" si="89"/>
        <v>#N/A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fogantyú profil 2,7m ezüst</v>
      </c>
      <c r="C2835" s="185" t="e">
        <f t="shared" si="89"/>
        <v>#N/A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fogantyú profil 2,7m oliva</v>
      </c>
      <c r="C2836" s="185" t="e">
        <f t="shared" si="89"/>
        <v>#N/A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tömítés üvegre 10/6,4mm</v>
      </c>
      <c r="C2837" s="185">
        <f t="shared" si="89"/>
        <v>317.79295000000002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végzáró Hide N profilhoz ezüst</v>
      </c>
      <c r="C2838" s="185">
        <f t="shared" si="89"/>
        <v>2073.2554399999999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fék Hide N és M profilhoz</v>
      </c>
      <c r="C2839" s="185">
        <f t="shared" si="89"/>
        <v>1041.6357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keret profil 2,7m ezüst</v>
      </c>
      <c r="C2840" s="185">
        <f t="shared" si="89"/>
        <v>2974.67083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keret profil 2,7m ezüst</v>
      </c>
      <c r="C2841" s="185">
        <f t="shared" si="89"/>
        <v>3355.2683499999998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felső vezetés 2m alu nyers</v>
      </c>
      <c r="C2842" s="185" t="e">
        <f t="shared" si="89"/>
        <v>#N/A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alsó vezetés 2m alu nyers</v>
      </c>
      <c r="C2843" s="185" t="e">
        <f t="shared" si="89"/>
        <v>#N/A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vasalat szett 2 ajtószárnyra balos</v>
      </c>
      <c r="C2844" s="185" t="e">
        <f t="shared" si="89"/>
        <v>#N/A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vasalat szett 2 ajtószárnyra jobbos</v>
      </c>
      <c r="C2845" s="185">
        <f t="shared" si="89"/>
        <v>22014.566589999999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kétoldalú ragasztśzalag 50mm 10m</v>
      </c>
      <c r="C2846" s="185">
        <f t="shared" si="89"/>
        <v>1947.7642000000001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vasalat szett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csillapító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alsó vezetés 3m ezüst</v>
      </c>
      <c r="C2849" s="185">
        <f t="shared" si="89"/>
        <v>3299.2979500000001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"U" Mini profil 18 mm-es rétegeltlemezre 3m ezüst</v>
      </c>
      <c r="C2850" s="185">
        <f t="shared" si="89"/>
        <v>1432.24881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támfalas kefe öntapadó 6,7x4mm szürke</v>
      </c>
      <c r="C2851" s="185">
        <f t="shared" si="89"/>
        <v>102.51391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fogantyú profil 2,70m ezüst</v>
      </c>
      <c r="C2852" s="185">
        <f t="shared" si="89"/>
        <v>2944.62372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fogantyú profil 2,70m oliva</v>
      </c>
      <c r="C2853" s="185">
        <f t="shared" si="89"/>
        <v>3685.7872400000001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összekötő profil H10 Decor 3m ezüst</v>
      </c>
      <c r="C2854" s="185">
        <f t="shared" si="89"/>
        <v>5128.0520100000003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vasalat szett ZPE-18</v>
      </c>
      <c r="C2855" s="185">
        <f t="shared" si="89"/>
        <v>14837.02203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fogantyú profil 18mm 2,70m ezüst</v>
      </c>
      <c r="C2856" s="185">
        <f t="shared" si="89"/>
        <v>4994.8622400000004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fogantyú profil 10mm 2,70m ezüst</v>
      </c>
      <c r="C2857" s="185">
        <f t="shared" si="89"/>
        <v>4669.3318200000003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fogantyú profil 10mm 2,70m ezüst</v>
      </c>
      <c r="C2858" s="185">
        <f t="shared" si="89"/>
        <v>5096.5906000000004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felső vezetés 6m ezüst</v>
      </c>
      <c r="C2859" s="185">
        <f t="shared" si="89"/>
        <v>16785.17915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alsó vezetés 6m ezüst</v>
      </c>
      <c r="C2860" s="185">
        <f t="shared" si="89"/>
        <v>8830.0214500000002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felső görgő Simple (10mm Fala) aszimmetrikus J+B</v>
      </c>
      <c r="C2861" s="185">
        <f t="shared" si="89"/>
        <v>850.86532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felső görgő Simple (10mm Polo) szimmetrikus J+B</v>
      </c>
      <c r="C2862" s="185">
        <f t="shared" si="89"/>
        <v>850.86532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felső görgő Simple (18 mm-es rétegeltlemez) keretes J+B</v>
      </c>
      <c r="C2863" s="185">
        <f t="shared" si="89"/>
        <v>850.86532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felső görgő Simple (18 mm-es rétegeltlemez) keret nélküli J+B</v>
      </c>
      <c r="C2864" s="185">
        <f t="shared" si="89"/>
        <v>871.36820999999998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rögzítő ék Simple 40db (üveg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20223 takaró profil alsó vezetésre Simple/Blue átlátszó</v>
      </c>
      <c r="C2866" s="185">
        <f t="shared" si="89"/>
        <v>399.80439000000001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tolóajtó zár 10/18mm</v>
      </c>
      <c r="C2867" s="185">
        <f t="shared" si="89"/>
        <v>6243.0970299999999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2,7m oliva sötét szálcsiszolt</v>
      </c>
      <c r="C2868" s="185">
        <f t="shared" si="89"/>
        <v>9234.4998200000009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 Victoria II 2,7m fekete szálcsiszolt</v>
      </c>
      <c r="C2869" s="185">
        <f t="shared" si="89"/>
        <v>9234.4998200000009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alsó vezetés 1,7m oliva</v>
      </c>
      <c r="C2870" s="185">
        <f t="shared" si="89"/>
        <v>6520.2377500000002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acél 2m ezüst</v>
      </c>
      <c r="C2871" s="185" t="e">
        <f t="shared" si="89"/>
        <v>#N/A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szett Herkules plus 40kg 2 ajtószárnyra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vezető elem Hercules harmonikaajtóra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közép pánt rugóval ezüst</v>
      </c>
      <c r="C2874" s="185">
        <f t="shared" si="89"/>
        <v>1266.69498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felső vezetés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vezető tövis</v>
      </c>
      <c r="C2876" s="185">
        <f t="shared" si="89"/>
        <v>284.76100000000002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alsó vezetés 3m oliva</v>
      </c>
      <c r="C2877" s="185" t="e">
        <f t="shared" si="89"/>
        <v>#N/A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 04463  felső vezető profil Simple/Blue 3m (18 mm-es rétegeltlemez) ezüs</v>
      </c>
      <c r="C2878" s="185">
        <f t="shared" si="89"/>
        <v>4058.9616799999999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 04455 alsó takaró profil Simple/Blue 3m (18 mm-es rétegeltlemez) ezüst</v>
      </c>
      <c r="C2879" s="185">
        <f t="shared" si="89"/>
        <v>7904.2935500000003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felső vezető profil Simple/Blue 3m (10 mm-es rétegeltlemez) ezüst</v>
      </c>
      <c r="C2880" s="185">
        <f t="shared" si="89"/>
        <v>4699.85023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 alsó takaró profil Simple/Blue 3m (10 mm-es rétegeltlemez) ezüst</v>
      </c>
      <c r="C2881" s="185">
        <f t="shared" si="89"/>
        <v>7649.97264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sablon görgőkhöz 18 mm-es rétegeltlemez</v>
      </c>
      <c r="C2882" s="185">
        <f t="shared" si="89"/>
        <v>1662.2421200000001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fog.profil 18mm 2,70m arany</v>
      </c>
      <c r="C2883" s="185" t="e">
        <f t="shared" si="89"/>
        <v>#N/A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 04530 Alfa II fogantyú profil 18mm 2,70m ezüst</v>
      </c>
      <c r="C2884" s="185">
        <f t="shared" ref="C2884:C2947" si="91">IF($A$2=1,H2884,IF($A$2=2,I2884,IF($A$2=3,J2884,IF($A$2=4,K2884,IF($A$2&gt;4,O2884,"zadat jazyk")))))</f>
        <v>4867.6428800000003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fogantyú profil 18mm 2,70m oliva</v>
      </c>
      <c r="C2885" s="185">
        <f t="shared" si="91"/>
        <v>6129.62464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szett szétnyíló ajtóhoz</v>
      </c>
      <c r="C2886" s="185">
        <f t="shared" si="91"/>
        <v>11718.3999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szögletvas K2 1,7m oliva sötét szálcsiszolt</v>
      </c>
      <c r="C2887" s="185">
        <f t="shared" si="91"/>
        <v>1882.95649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szögletvas K2 2,35m oliva sötét szálcsiszolt</v>
      </c>
      <c r="C2888" s="185">
        <f t="shared" si="91"/>
        <v>2604.08887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szögletvas K2 3m oliva sötét szálcsiszolt</v>
      </c>
      <c r="C2889" s="185">
        <f t="shared" si="91"/>
        <v>3325.2212399999999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összekötő profil H18 3m oliva sötét szálcsiszolt</v>
      </c>
      <c r="C2890" s="185">
        <f t="shared" si="91"/>
        <v>7451.7006300000003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18mm 3m oliva szálcsiszolt</v>
      </c>
      <c r="C2891" s="185">
        <f t="shared" si="91"/>
        <v>3295.17416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18mm 3m oliva sötét szálcsiszolt</v>
      </c>
      <c r="C2892" s="185">
        <f t="shared" si="91"/>
        <v>3295.17416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18mm 3m fekete szálcsiszolt</v>
      </c>
      <c r="C2893" s="185">
        <f t="shared" si="91"/>
        <v>3295.17416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összekötő profil H18 3m fekete szálcsiszolt</v>
      </c>
      <c r="C2894" s="185">
        <f t="shared" si="91"/>
        <v>7451.7006300000003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szögletvas K2 1,7m fekete szálcsiszolt</v>
      </c>
      <c r="C2895" s="185">
        <f t="shared" si="91"/>
        <v>1882.95649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szögletvas K2 2,35m fekete szálcsiszolt</v>
      </c>
      <c r="C2896" s="185">
        <f t="shared" si="91"/>
        <v>2604.08887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szögletvas K2 3m fekete szálcsiszolt</v>
      </c>
      <c r="C2897" s="185">
        <f t="shared" si="91"/>
        <v>3325.2212399999999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alsó vezetés 3m oliva</v>
      </c>
      <c r="C2898" s="185">
        <f t="shared" si="91"/>
        <v>4006.2905000000001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felső vezetés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felső vezetés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felső vezetés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felső vezetés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felső vezetés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felső vezetés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felső vezetés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vasalat szett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vasalat szett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vasalat szett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vasalat szett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vasalat szett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vasalat szett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vasalat szett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vasalat szett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vasalat szett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vasalat szett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vasalat szett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vasalat szett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vasalat szett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vasalat szett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fogantyú profil 18mm 2,70m oliva</v>
      </c>
      <c r="C2920" s="185" t="e">
        <f t="shared" si="91"/>
        <v>#N/A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megfogó rúd 10mm 2,70m olívaolaj színű</v>
      </c>
      <c r="C2921" s="185">
        <f t="shared" si="91"/>
        <v>5534.0228800000004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megfogósín 10mm 2,70m olajbogyó</v>
      </c>
      <c r="C2922" s="185">
        <f t="shared" si="91"/>
        <v>6083.3557700000001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felső vezetés 6m oliva</v>
      </c>
      <c r="C2923" s="185" t="e">
        <f t="shared" si="91"/>
        <v>#N/A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alsó vezetés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 04444 összekötő profil Simple/Blue H28 3m (18 mm-es rétegeltlemez) oliv</v>
      </c>
      <c r="C2925" s="185">
        <f t="shared" si="91"/>
        <v>9694.7124800000001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 04459 felső vezető profil Simple/Blue 3m (18 mm-es rétegeltlemez) oliva</v>
      </c>
      <c r="C2926" s="185">
        <f t="shared" si="91"/>
        <v>5025.3810700000004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 04451 alsó takaró profil Simple/Blue 3m (18 mm-es rétegeltlemez) oliva</v>
      </c>
      <c r="C2927" s="185">
        <f t="shared" si="91"/>
        <v>9796.4408399999993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Felső vezetősín Simple/Blue 3m (10mm-es laminált anyaghoz) olíva</v>
      </c>
      <c r="C2928" s="185">
        <f t="shared" si="91"/>
        <v>5879.8990400000002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alsó fedőszalag Simple/Blue 3m (10mm-es laminált anyaghoz) olíva</v>
      </c>
      <c r="C2929" s="185">
        <f t="shared" si="91"/>
        <v>9094.51541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kapocs támfalas keféhez</v>
      </c>
      <c r="C2930" s="185">
        <f t="shared" si="91"/>
        <v>30.754100000000001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fogantyú profil 2,7m ezüst</v>
      </c>
      <c r="C2931" s="185">
        <f t="shared" si="91"/>
        <v>8493.3359199999995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Karat fogantyú profil 2,7m oliva</v>
      </c>
      <c r="C2932" s="185">
        <f t="shared" si="91"/>
        <v>10616.67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felső vezetés 1,5m ezüst</v>
      </c>
      <c r="C2933" s="185">
        <f t="shared" si="91"/>
        <v>4753.7065499999999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felső vezetés 2m ezüst</v>
      </c>
      <c r="C2934" s="185">
        <f t="shared" si="91"/>
        <v>5595.0597200000002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felső vezetés 2,5m ezüst</v>
      </c>
      <c r="C2935" s="185">
        <f t="shared" si="91"/>
        <v>6998.9109799999997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felső vezetés 3m ezüst</v>
      </c>
      <c r="C2936" s="185">
        <f t="shared" si="91"/>
        <v>8392.5895899999996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felső vezetés 4m ezüst</v>
      </c>
      <c r="C2937" s="185">
        <f t="shared" si="91"/>
        <v>11190.119420000001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alsó vezetés 1,5m ezüst</v>
      </c>
      <c r="C2938" s="185">
        <f t="shared" si="91"/>
        <v>2500.9061700000002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alsó vezetés 2m ezüst</v>
      </c>
      <c r="C2939" s="185">
        <f t="shared" si="91"/>
        <v>3000.98659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alsó vezetés 2,5m ezüst</v>
      </c>
      <c r="C2940" s="185">
        <f t="shared" si="91"/>
        <v>3723.25776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alsó vezetés 3m ezüst</v>
      </c>
      <c r="C2941" s="185">
        <f t="shared" si="91"/>
        <v>4384.4920899999997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alsó vezetés 4m ezüst</v>
      </c>
      <c r="C2942" s="185">
        <f t="shared" si="91"/>
        <v>5869.7263800000001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felső vezetés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felső vezetés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felső vezetés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felső vezetés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felső vezetés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alsó vezetés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alsó vezetés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alsó vezetés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alsó vezetés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alsó vezetés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felső vezető profil Simple/Blue 1,5m (18 mm-es rétegeltlemez) ezüs</v>
      </c>
      <c r="C2953" s="185">
        <f t="shared" si="93"/>
        <v>2034.56717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felső vezető profil Simple/Blue 2m (18 mm-es rétegeltlemez) ezüst</v>
      </c>
      <c r="C2954" s="185">
        <f t="shared" si="93"/>
        <v>2705.97417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felső vezető profil Simple/Blue 2,5m (18 mm-es rétegeltlemez) ezüst</v>
      </c>
      <c r="C2955" s="185" t="e">
        <f t="shared" si="93"/>
        <v>#N/A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 04457 felső vezető profil Simple/Blue 2m (18 mm-es rétegeltlemez) oliva</v>
      </c>
      <c r="C2956" s="185">
        <f t="shared" si="93"/>
        <v>3357.0358299999998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felső vezető profil Simple/Blue 2,5m (18 mm-es rétegeltlemez) oliva</v>
      </c>
      <c r="C2957" s="185" t="e">
        <f t="shared" si="93"/>
        <v>#N/A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 04452 alsó takaró profil Simple/Blue 1,5m (18 mm-es rétegeltlemez) ezüs</v>
      </c>
      <c r="C2958" s="185">
        <f t="shared" si="93"/>
        <v>3957.2333100000001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alsó takaró profil Simple/Blue 2m (18 mm-es rétegeltlemez) ezüst</v>
      </c>
      <c r="C2959" s="185">
        <f t="shared" si="93"/>
        <v>5269.5288899999996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alsó takaró profil Simple/Blue 2,5m (18 mm-es rétegeltlemez) ezüst</v>
      </c>
      <c r="C2960" s="185">
        <f t="shared" si="93"/>
        <v>6591.99755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 04449 alsó takaró profil Simple/Blue 2m (18 mm-es rétegeltlemez) oliva</v>
      </c>
      <c r="C2961" s="185">
        <f t="shared" si="93"/>
        <v>6530.9607100000003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alsó takaró profil Simple/Blue 2,5m (18 mm-es rétegeltlemez) oliva</v>
      </c>
      <c r="C2962" s="185" t="e">
        <f t="shared" si="93"/>
        <v>#N/A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felső vezető profil Simple/Blue 1,5m (10 mm-es rétegeltlemez) ezüs</v>
      </c>
      <c r="C2963" s="185">
        <f t="shared" si="93"/>
        <v>2349.9249199999999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felső vezető profil Simple/Blue 2m (10 mm-es rétegeltlemez) ezüst</v>
      </c>
      <c r="C2964" s="185">
        <f t="shared" si="93"/>
        <v>3133.2333600000002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felső vezető profil Simple/Blue 2,5m (10 mm-es rétegeltlemez) ezüst</v>
      </c>
      <c r="C2965" s="185" t="e">
        <f t="shared" si="93"/>
        <v>#N/A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felső vezető profil Simple/Blue 1,5m (10 mm-es rétegeltlemez)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felső vezető profil Simple/Blue 2m (10 mm-es rétegeltlemez)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felső vezető profil Simple/Blue 2,5m (10 mm-es rétegeltlemez)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alsó takaró profil Simple/Blue 1,5m (10 mm-es rétegeltlemez) ezüst</v>
      </c>
      <c r="C2969" s="185">
        <f t="shared" si="93"/>
        <v>3926.7144899999998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alsó takaró profil Simple/Blue 2m (10 mm-es rétegeltlemez) ezüst</v>
      </c>
      <c r="C2970" s="185">
        <f t="shared" si="93"/>
        <v>5167.8005300000004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alsó takaró profil Simple/Blue 2,5m (10 mm-es rétegeltlemez) ezüst</v>
      </c>
      <c r="C2971" s="185">
        <f t="shared" si="93"/>
        <v>6408.8865999999998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alsó takaró profil Simple/Blue 1,5m (10 mm-es rétegeltlemez)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alsó takaró profil Simple/Blue 2m (10 mm-es rétegeltlemez)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alsó takaró profil Simple/Blue 2,5m (10 mm-es rétegeltlemez)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 04446  összekötő profil Simple/Blue H21 3m (18 mm-es rétegeltlemez) oli</v>
      </c>
      <c r="C2975" s="185">
        <f t="shared" si="93"/>
        <v>5584.8870299999999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Symetric vasalat szett 2 ajtószárnyra</v>
      </c>
      <c r="C2976" s="185" t="e">
        <f t="shared" si="93"/>
        <v>#N/A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Simple/Blue finomállító felső görgő-höz</v>
      </c>
      <c r="C2977" s="185">
        <f t="shared" si="93"/>
        <v>184.52493999999999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felső vezetés 1,8m oliva</v>
      </c>
      <c r="C2978" s="185">
        <f t="shared" si="93"/>
        <v>8945.4182500000006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alsó vezetés 6m oliva szálcsiszolt</v>
      </c>
      <c r="C2979" s="185">
        <f t="shared" si="93"/>
        <v>21093.11968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alsó vezetés 6m oliva sötét szálcsiszolt</v>
      </c>
      <c r="C2980" s="185" t="e">
        <f t="shared" si="93"/>
        <v>#N/A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alsó vezetés 6m fekete szálcsiszolt</v>
      </c>
      <c r="C2981" s="185">
        <f t="shared" si="93"/>
        <v>21093.11968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felső vezetés 6m oliva szálcsiszolt</v>
      </c>
      <c r="C2982" s="185">
        <f t="shared" si="93"/>
        <v>33021.850079999997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felső vezetés 6m oliva sötét szálcsiszolt</v>
      </c>
      <c r="C2983" s="185" t="e">
        <f t="shared" si="93"/>
        <v>#N/A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felső vezetés 6m fekete szálcsiszolt</v>
      </c>
      <c r="C2984" s="185">
        <f t="shared" si="93"/>
        <v>33021.850079999997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ütközés csillapító 10/18mm 14-25kg balos</v>
      </c>
      <c r="C2985" s="185">
        <f t="shared" si="93"/>
        <v>5064.1871000000001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ütközés csillapító 10/18mm 14-25kg jobbos</v>
      </c>
      <c r="C2986" s="185">
        <f t="shared" si="93"/>
        <v>5064.1871000000001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ütközés csillapító 10/18mm 25-50kg balos</v>
      </c>
      <c r="C2987" s="185">
        <f t="shared" si="93"/>
        <v>5064.1871000000001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ütközés csillapító 10/18mm 25-50kg jobbos</v>
      </c>
      <c r="C2988" s="185">
        <f t="shared" si="93"/>
        <v>5064.1871000000001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ütközés csillapító 10/18mm 14-25kg J+B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ütközés csillapító 10/18mm 25-50kg J+B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összekötő profil H10 Decor 3m oliva</v>
      </c>
      <c r="C2991" s="185">
        <f t="shared" si="93"/>
        <v>6460.1435300000003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felső vezetés 6m ezüst</v>
      </c>
      <c r="C2992" s="185">
        <f t="shared" si="93"/>
        <v>40834.116679999999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felső vezetés 6m oliva</v>
      </c>
      <c r="C2993" s="185">
        <f t="shared" si="93"/>
        <v>51020.110520000002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felső vezető profil2,35m ezüst</v>
      </c>
      <c r="C2994" s="185">
        <f t="shared" si="93"/>
        <v>15995.115159999999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felső vezető profil3m ezüst</v>
      </c>
      <c r="C2995" s="185">
        <f t="shared" si="93"/>
        <v>20412.050360000001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felső görgő Gemini szimmetrikus 10mm - 2db</v>
      </c>
      <c r="C2996" s="185">
        <f t="shared" si="93"/>
        <v>2040.0269000000001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felső görgő 18mm 2db</v>
      </c>
      <c r="C2997" s="185">
        <f t="shared" si="93"/>
        <v>1547.9598100000001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"U" profil rétegelt lemezhez 16mm 3m ezüst</v>
      </c>
      <c r="C2998" s="185">
        <f t="shared" si="93"/>
        <v>2323.6486100000002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fogantyú profil 2,70m ezüst</v>
      </c>
      <c r="C2999" s="185">
        <f t="shared" si="93"/>
        <v>3024.74946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fogantyú profil 2,7m ezüst</v>
      </c>
      <c r="C3000" s="185" t="e">
        <f t="shared" si="93"/>
        <v>#N/A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fogantyú profil 2,7m ezüst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fogantyú profil 2,7m ezüst</v>
      </c>
      <c r="C3002" s="185" t="e">
        <f t="shared" si="93"/>
        <v>#N/A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támfalas kefe becsúsztatható 4,8x4mm szürke</v>
      </c>
      <c r="C3003" s="185">
        <f t="shared" si="93"/>
        <v>35.639870000000002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alsó görgő WD18V (2x görgő+finomállító) rugóval</v>
      </c>
      <c r="C3004" s="185" t="e">
        <f t="shared" si="93"/>
        <v>#N/A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felső görgő 18mm - 2db</v>
      </c>
      <c r="C3005" s="185">
        <f t="shared" si="93"/>
        <v>2849.8865099999998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alsó görgő WD 18C HI-TEC - 2db</v>
      </c>
      <c r="C3006" s="185">
        <f t="shared" si="93"/>
        <v>2060.5293299999998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alsó görgő WD 10C HI-TEC - 2db</v>
      </c>
      <c r="C3007" s="185">
        <f t="shared" si="93"/>
        <v>2624.35581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felső görgő 10mm - 2db</v>
      </c>
      <c r="C3008" s="185">
        <f t="shared" si="93"/>
        <v>2993.4061299999998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felső görgő 18mm - 2db</v>
      </c>
      <c r="C3009" s="185" t="e">
        <f t="shared" si="93"/>
        <v>#N/A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alsó görgő Simple/Blue V (keretes rendszer) - 2db</v>
      </c>
      <c r="C3010" s="185">
        <f t="shared" si="93"/>
        <v>1076.396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alsó görgő Simple (keret nélküli 18mm) - 2db</v>
      </c>
      <c r="C3011" s="185">
        <f t="shared" si="93"/>
        <v>1629.97126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finomállító alsó görgő-höz</v>
      </c>
      <c r="C3012" s="185">
        <f t="shared" ref="C3012:C3075" si="95">IF($A$2=1,H3012,IF($A$2=2,I3012,IF($A$2=3,J3012,IF($A$2=4,K3012,IF($A$2&gt;4,O3012,"zadat jazyk")))))</f>
        <v>143.51965000000001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takaró profil Herkules Glass 2m ezüst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oldalsó végzáró Herkules Glas takaró profilhoz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szett csillapító J+B</v>
      </c>
      <c r="C3015" s="185">
        <f t="shared" si="95"/>
        <v>22091.74668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fogantyú profil 2,7m ezüst</v>
      </c>
      <c r="C3016" s="185" t="e">
        <f t="shared" si="95"/>
        <v>#N/A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felső vezetés 3,6m ezüst</v>
      </c>
      <c r="C3017" s="185" t="e">
        <f t="shared" si="95"/>
        <v>#N/A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összekötő profil H16 3m ezüst</v>
      </c>
      <c r="C3018" s="185">
        <f t="shared" si="95"/>
        <v>4617.2497100000001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összekötő profile H16 3m oliva</v>
      </c>
      <c r="C3019" s="185" t="e">
        <f t="shared" si="95"/>
        <v>#N/A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összekötő profil H08/16 3m ezüst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összek.profile H08/16 3m oliva</v>
      </c>
      <c r="C3021" s="185" t="e">
        <f t="shared" si="95"/>
        <v>#N/A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felső vezetés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alsó vezetés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takaró profil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fogantyú profil 2,7m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vezető profil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alsó takaró profil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összekötő profil H18 1,8m oliva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összekötő profil H18 2,5m oliva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összekötő profil H25 1,8m oliva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összekötő profil H25 2,5m oliva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Simple profil minta (doboz)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összek.prof.Simple/Blue H25 3m(16mm)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összek.prof.Simple/Blue H25 3m(16mm)</v>
      </c>
      <c r="C3034" s="185" t="e">
        <f t="shared" si="95"/>
        <v>#N/A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támfalas kefe becsúsztatható 14x4mm, 50m</v>
      </c>
      <c r="C3035" s="185">
        <f t="shared" si="95"/>
        <v>6068.8232900000003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Focus II 16mm fogantyú profil 2,7m ezüst</v>
      </c>
      <c r="C3036" s="185">
        <f t="shared" si="95"/>
        <v>3195.0168899999999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fogantyú profil 2,7m ezüst</v>
      </c>
      <c r="C3037" s="185">
        <f t="shared" si="95"/>
        <v>3195.0168899999999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fogantyú profil 2,7m oliva</v>
      </c>
      <c r="C3038" s="185">
        <f t="shared" si="95"/>
        <v>4086.4163100000001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fogantyú profil 2,7m ezüst</v>
      </c>
      <c r="C3039" s="185">
        <f t="shared" si="95"/>
        <v>5548.7125900000001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fogantyú profil 2,7m oliva</v>
      </c>
      <c r="C3040" s="185">
        <f t="shared" si="95"/>
        <v>6490.1906399999998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fogantyú profil 2,7m arany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alsó vezetés 6m ezüst</v>
      </c>
      <c r="C3042" s="185">
        <f t="shared" si="95"/>
        <v>9603.3140800000001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alsó vezetés 1,7m ezüst</v>
      </c>
      <c r="C3043" s="185">
        <f t="shared" si="95"/>
        <v>2719.9571500000002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oldalsó takaró elem Single + finomállító</v>
      </c>
      <c r="C3044" s="185">
        <f t="shared" si="95"/>
        <v>10192.47445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elem Single profil falra rögzítéséhez</v>
      </c>
      <c r="C3045" s="185" t="e">
        <f t="shared" si="95"/>
        <v>#N/A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felső vezetés 3m fényes fehér</v>
      </c>
      <c r="C3046" s="185">
        <f t="shared" si="95"/>
        <v>12499.626490000001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összekötő profil H18 3m fényes fehér</v>
      </c>
      <c r="C3047" s="185">
        <f t="shared" si="95"/>
        <v>5999.42029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alsó vezetés 3m fényes fehér</v>
      </c>
      <c r="C3048" s="185">
        <f t="shared" si="95"/>
        <v>7291.4487600000002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fogantyú profil 2,7m fényes fehér</v>
      </c>
      <c r="C3049" s="185">
        <f t="shared" si="95"/>
        <v>6299.8920699999999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hordozó elem csillapítóhoz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SEVROLL20238 Simple/Blue szerelési eszköz 10/18mm-es rétegelt lemezhez</v>
      </c>
      <c r="C3051" s="185">
        <f t="shared" si="95"/>
        <v>4298.9068900000002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szerelési eszköz Maxim rendszerhez kicsi</v>
      </c>
      <c r="C3052" s="185" t="e">
        <f t="shared" si="95"/>
        <v>#N/A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szögletvas 18x18mm 3m ezüst</v>
      </c>
      <c r="C3053" s="185">
        <f t="shared" si="95"/>
        <v>3745.88184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alsó vezetés 6m nyers</v>
      </c>
      <c r="C3054" s="185" t="e">
        <f t="shared" si="95"/>
        <v>#N/A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felső vezetés 6m ezüst</v>
      </c>
      <c r="C3055" s="185" t="e">
        <f t="shared" si="95"/>
        <v>#N/A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 04379 Fox II fogantyú profil 2,7m fényes fehér</v>
      </c>
      <c r="C3056" s="185">
        <f t="shared" si="95"/>
        <v>8313.0529399999996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felső vezető profil 3m fényes fehér</v>
      </c>
      <c r="C3057" s="185">
        <f t="shared" si="95"/>
        <v>7131.1972999999998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 alsó takaró profil 3m 10mm fényes fehér</v>
      </c>
      <c r="C3058" s="185">
        <f t="shared" si="95"/>
        <v>12960.35014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szögletvas Mini 17x11mm 3m fényes fehér</v>
      </c>
      <c r="C3059" s="185">
        <f t="shared" si="95"/>
        <v>2163.3967400000001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felső vezetés 2,35m fényes fehér</v>
      </c>
      <c r="C3060" s="185">
        <f t="shared" si="95"/>
        <v>9795.3803599999992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felső vezető profil 2,35m fényes fehér</v>
      </c>
      <c r="C3061" s="185">
        <f t="shared" si="95"/>
        <v>5588.7752499999997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SEVROLL04063 alsó takaró profil 2,35m 10mm fényes fehér</v>
      </c>
      <c r="C3062" s="185">
        <f t="shared" si="95"/>
        <v>10125.899240000001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szögletvas 22x22mm 3m ezüst</v>
      </c>
      <c r="C3063" s="185">
        <f t="shared" si="95"/>
        <v>3946.1963700000001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szögletvas 10x10mm 3m ezüst</v>
      </c>
      <c r="C3064" s="185">
        <f t="shared" si="95"/>
        <v>1602.5162399999999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szögletvas 10x18mm 3m ezüst</v>
      </c>
      <c r="C3065" s="185">
        <f t="shared" si="95"/>
        <v>2193.4442399999998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vasalat szett  ZSE-18 PLUS PRINCE</v>
      </c>
      <c r="C3066" s="185" t="e">
        <f t="shared" si="95"/>
        <v>#N/A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 04532 Alfa II profil 18mm 2,7m fényes fehér</v>
      </c>
      <c r="C3067" s="185">
        <f t="shared" si="95"/>
        <v>6329.9391800000003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szögletvas Mini 17x11mm 3m matt fehér</v>
      </c>
      <c r="C3068" s="185">
        <f t="shared" si="95"/>
        <v>2163.3967400000001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szögletvas Mini 17x11mm 2,35m fényes fehér</v>
      </c>
      <c r="C3069" s="185">
        <f t="shared" si="95"/>
        <v>1692.6579200000001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szögletvas Mini 17x11mm 1,7m fényes fehér</v>
      </c>
      <c r="C3070" s="185">
        <f t="shared" si="95"/>
        <v>1221.9187199999999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alsó takaró profil 1,7m 10mm fényes fehér</v>
      </c>
      <c r="C3071" s="185">
        <f t="shared" si="95"/>
        <v>7331.51181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felső vezető profil 1,7m fényes fehér</v>
      </c>
      <c r="C3072" s="185">
        <f t="shared" si="95"/>
        <v>4036.3376800000001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összekötő profil H08/18 3m matt fehér</v>
      </c>
      <c r="C3073" s="185">
        <f t="shared" si="95"/>
        <v>4416.9351999999999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SEVROLL04050  összekötő profil H10 3m fényes fehér</v>
      </c>
      <c r="C3074" s="185">
        <f t="shared" si="95"/>
        <v>6089.5615900000003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fogantyú profil 2,7m matt fehér</v>
      </c>
      <c r="C3075" s="185">
        <f t="shared" si="95"/>
        <v>6299.8920699999999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 04437 Elegant II alsó vezetés 3m matt fehér</v>
      </c>
      <c r="C3076" s="185">
        <f t="shared" ref="C3076:C3139" si="97">IF($A$2=1,H3076,IF($A$2=2,I3076,IF($A$2=3,J3076,IF($A$2=4,K3076,IF($A$2&gt;4,O3076,"zadat jazyk")))))</f>
        <v>7291.4487600000002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SEVROLL04290 Elegant II alsó vezetés 1,7m fényes fehér</v>
      </c>
      <c r="C3077" s="185">
        <f t="shared" si="97"/>
        <v>4176.5579900000002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  04291 L Elegant II alsó vezetés 2,35m fényes fehér</v>
      </c>
      <c r="C3078" s="185">
        <f t="shared" si="97"/>
        <v>5739.01116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alsó vezetés 4,05m fényes fehér</v>
      </c>
      <c r="C3079" s="185">
        <f t="shared" si="97"/>
        <v>9875.5060699999995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felső vezetés 4,05m fényes fehér</v>
      </c>
      <c r="C3080" s="185">
        <f t="shared" si="97"/>
        <v>16876.499019999999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felső vezetés 1,7m fényes fehér</v>
      </c>
      <c r="C3081" s="185">
        <f t="shared" si="97"/>
        <v>7081.1186600000001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fogantyú profil 2,7m ezüst</v>
      </c>
      <c r="C3082" s="185">
        <f t="shared" si="97"/>
        <v>7962.5024999999996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fogantyú profil 3m ezüst</v>
      </c>
      <c r="C3083" s="185">
        <f t="shared" si="97"/>
        <v>8853.9022999999997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felső vezető profil 3m ezüst</v>
      </c>
      <c r="C3084" s="185">
        <f t="shared" si="97"/>
        <v>8693.6504600000007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Pax alsó takaró profil 3m 4mm ezüst</v>
      </c>
      <c r="C3085" s="185">
        <f t="shared" si="97"/>
        <v>10015.726420000001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 Pax végzáró profilhoz (4 db) ezüst</v>
      </c>
      <c r="C3086" s="185">
        <f t="shared" si="97"/>
        <v>2747.3726000000001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Gemini fogantyú profil 2,7m matt feket</v>
      </c>
      <c r="C3087" s="185">
        <f t="shared" si="97"/>
        <v>9454.8458900000005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felső vezetés 6m ezüst</v>
      </c>
      <c r="C3088" s="185">
        <f t="shared" si="97"/>
        <v>20311.893090000001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alsó vezetés 6m oliva</v>
      </c>
      <c r="C3089" s="185">
        <f t="shared" si="97"/>
        <v>11252.96305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sín INTER S 35kg a mennyezetbe 2m</v>
      </c>
      <c r="C3090" s="185" t="e">
        <f t="shared" si="97"/>
        <v>#N/A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sín INTER S 35kg a mennyezetbe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sín INTER S 35kg a mennyezetbe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SEVROLL50455  sín INTER B 35kg a falra 2m</v>
      </c>
      <c r="C3093" s="185" t="e">
        <f t="shared" si="97"/>
        <v>#N/A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sín INTER B 35kg a falra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sín INTER B 35kg a falra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sín Galaxy S 50kg a mennyezetbe 2m</v>
      </c>
      <c r="C3096" s="185">
        <f t="shared" si="97"/>
        <v>4703.4638500000001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SEVROLL50449  sín Galaxy S 50kg a mennyezetbe 3m</v>
      </c>
      <c r="C3097" s="185">
        <f t="shared" si="97"/>
        <v>7040.4665999999997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sín Galaxy S 50kg a mennyezetbe 6m</v>
      </c>
      <c r="C3098" s="185">
        <f t="shared" si="97"/>
        <v>14090.752350000001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sín Galaxy B 50kg a falra 2m</v>
      </c>
      <c r="C3099" s="185">
        <f t="shared" si="97"/>
        <v>4939.1277499999997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SEVROLL50451  sín Galaxy B 50kg a falra 3m</v>
      </c>
      <c r="C3100" s="185">
        <f t="shared" si="97"/>
        <v>7403.7822299999998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sín Galaxy B 50kg a falra 6m</v>
      </c>
      <c r="C3101" s="185">
        <f t="shared" si="97"/>
        <v>14817.38365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039790 takaró profil Galaxy 2m</v>
      </c>
      <c r="C3102" s="185">
        <f t="shared" si="97"/>
        <v>4369.6061300000001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takaró profil Galaxy 3m</v>
      </c>
      <c r="C3103" s="185">
        <f t="shared" si="97"/>
        <v>6549.4996000000001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takaró profil Galaxy 6m</v>
      </c>
      <c r="C3104" s="185">
        <f t="shared" si="97"/>
        <v>13138.27635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 04318  Pax merevítő 3m ezüst</v>
      </c>
      <c r="C3105" s="185">
        <f t="shared" si="97"/>
        <v>11147.503419999999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SEVROLL20319-SV  csillapító Central 10 / 18mm kétoldalas 25-40kg</v>
      </c>
      <c r="C3106" s="185">
        <f t="shared" si="97"/>
        <v>19364.876939999998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ütközés csillapító  Mini SV40 (25 - 40kg)</v>
      </c>
      <c r="C3107" s="185">
        <f t="shared" si="97"/>
        <v>9041.7265599999992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Pax fogantyú profil 2,7m fényes fehér</v>
      </c>
      <c r="C3108" s="185">
        <f t="shared" si="97"/>
        <v>10356.261270000001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Pax fogantyú profil 3m fényes fehér</v>
      </c>
      <c r="C3109" s="185">
        <f t="shared" si="97"/>
        <v>11508.069799999999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Pax felső vezető profil 3m fényes fehér</v>
      </c>
      <c r="C3110" s="185">
        <f t="shared" si="97"/>
        <v>11297.73933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Pax alsó takaró profil 3m 4mm fényes fehér</v>
      </c>
      <c r="C3111" s="185">
        <f t="shared" si="97"/>
        <v>13020.44433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Pax végzáró profilhoz (4 db) fényes fehér</v>
      </c>
      <c r="C3112" s="185">
        <f t="shared" si="97"/>
        <v>3567.4838199999999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04044Rex fogantyú profil 2,7m ezüst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felső görgő 18mm aszimmetrikus - 2db</v>
      </c>
      <c r="C3114" s="185">
        <f t="shared" si="97"/>
        <v>2849.8865099999998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 sín INTER S 35kg a mennyezetbe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sín INTER B 35kg a falra 1,5m</v>
      </c>
      <c r="C3116" s="185" t="e">
        <f t="shared" si="97"/>
        <v>#N/A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fogantyú profil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16mm fogantyú profil 2,7m arany</v>
      </c>
      <c r="C3118" s="185">
        <f t="shared" si="97"/>
        <v>4086.4163100000001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Focus II 18mm fogantyú profil 2,7m arany</v>
      </c>
      <c r="C3119" s="185">
        <f t="shared" si="97"/>
        <v>4086.4163100000001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fogantyú profil 18mm 2,70m ezüst</v>
      </c>
      <c r="C3120" s="185">
        <f t="shared" si="97"/>
        <v>4659.1587399999999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fogantyú profil 18mm 2,70m oliva</v>
      </c>
      <c r="C3121" s="185">
        <f t="shared" si="97"/>
        <v>5656.0965699999997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felső görgő Simple 18mm szimmetrikus J+B</v>
      </c>
      <c r="C3122" s="185">
        <f t="shared" si="97"/>
        <v>778.25313000000006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vezető profil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alsó takaró profil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vezető profil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alsó takaró profil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felső vezetés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felső vezetés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alsó vezetés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alsó vezetés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Maxim II takaró profil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Maxim II takaró profil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fogantyú ragasztható fehér</v>
      </c>
      <c r="C3133" s="185">
        <f t="shared" si="97"/>
        <v>3084.84366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 Pax fogantyú ragasztható ezüst</v>
      </c>
      <c r="C3134" s="185">
        <f t="shared" si="97"/>
        <v>2373.7272499999999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profil 18mm 2,7m  matt fekete</v>
      </c>
      <c r="C3135" s="185">
        <f t="shared" si="97"/>
        <v>6329.9391800000003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ruharúd ovális 3m ezüst</v>
      </c>
      <c r="C3136" s="185">
        <f t="shared" si="97"/>
        <v>5618.8223600000001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összekötő elem sarokra</v>
      </c>
      <c r="C3137" s="185">
        <f t="shared" si="97"/>
        <v>500.78631000000001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rögzítő elem falra</v>
      </c>
      <c r="C3138" s="185">
        <f t="shared" si="97"/>
        <v>430.67615999999998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bútorláb állítható</v>
      </c>
      <c r="C3139" s="185">
        <f t="shared" si="97"/>
        <v>1101.7299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ruharúd gömbölyű 3m alu ezüst</v>
      </c>
      <c r="C3140" s="185">
        <f t="shared" ref="C3140:C3203" si="99">IF($A$2=1,H3140,IF($A$2=2,I3140,IF($A$2=3,J3140,IF($A$2=4,K3140,IF($A$2&gt;4,O3140,"zadat jazyk")))))</f>
        <v>3635.7085999999999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ruharúd gömbölyű 4m ezüst</v>
      </c>
      <c r="C3141" s="185" t="e">
        <f t="shared" si="99"/>
        <v>#N/A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alap hordozó elem 3m ezüst</v>
      </c>
      <c r="C3142" s="185">
        <f t="shared" si="99"/>
        <v>13140.63315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ovális ruharúd tartó hordozó elembe</v>
      </c>
      <c r="C3143" s="185">
        <f t="shared" si="99"/>
        <v>580.91206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polctartó</v>
      </c>
      <c r="C3144" s="185">
        <f t="shared" si="99"/>
        <v>1071.68281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polctartó cipőpolchoz</v>
      </c>
      <c r="C3145" s="185">
        <f t="shared" si="99"/>
        <v>1322.0759599999999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végzáró gömbölyű ruharúdhoz</v>
      </c>
      <c r="C3146" s="185">
        <f t="shared" si="99"/>
        <v>133.26801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végzáró hordozó elemhez</v>
      </c>
      <c r="C3147" s="185">
        <f t="shared" si="99"/>
        <v>533.07240000000002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szett 8 db rögzítő szögletvas</v>
      </c>
      <c r="C3148" s="185">
        <f t="shared" si="99"/>
        <v>7752.1724100000001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ütközés csillapító Top SV60 - 2db</v>
      </c>
      <c r="C3149" s="185">
        <f t="shared" si="99"/>
        <v>20102.976739999998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fogantyú profil 2,7m ezüst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reklám sablon görgőkhöz 18 mm-es RL-hez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ütközés csillapító Simple/Blue 10/18, 25 - 40kg , J+B</v>
      </c>
      <c r="C3152" s="185">
        <f t="shared" si="99"/>
        <v>9728.5697999999993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Fix finomállító felső görgő-höz transzparens</v>
      </c>
      <c r="C3153" s="185">
        <f t="shared" si="99"/>
        <v>481.81545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szögletvas 18x36mm 3m ezüst</v>
      </c>
      <c r="C3154" s="185">
        <f t="shared" si="99"/>
        <v>4136.4949200000001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Idea felső/alsó vezetés 2m ezüst</v>
      </c>
      <c r="C3155" s="185" t="e">
        <f t="shared" si="99"/>
        <v>#N/A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Idea felső/alsó vezetés 3m ezüst</v>
      </c>
      <c r="C3156" s="185" t="e">
        <f t="shared" si="99"/>
        <v>#N/A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Idea felső/alsó vezetés 6m ezüst</v>
      </c>
      <c r="C3157" s="185" t="e">
        <f t="shared" si="99"/>
        <v>#N/A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vasalat szett két ajtóra 50kg</v>
      </c>
      <c r="C3158" s="185" t="e">
        <f t="shared" si="99"/>
        <v>#N/A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vasalat szett belső ajtóra 50kg</v>
      </c>
      <c r="C3159" s="185" t="e">
        <f t="shared" si="99"/>
        <v>#N/A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finomállító Simple Start</v>
      </c>
      <c r="C3160" s="185" t="e">
        <f t="shared" si="99"/>
        <v>#N/A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fogantyú Push 90mm csiszolt nikkel</v>
      </c>
      <c r="C3161" s="185" t="e">
        <f t="shared" si="99"/>
        <v>#N/A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biztonsági fólia 300mm/50m transzparens</v>
      </c>
      <c r="C3162" s="185" t="e">
        <f t="shared" si="99"/>
        <v>#N/A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biztonsági fólia 500mm/50m transzparens</v>
      </c>
      <c r="C3163" s="185">
        <f t="shared" si="99"/>
        <v>28088.810160000001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támfalas kefe becsúsztatható 4,8x4mm fehér</v>
      </c>
      <c r="C3164" s="185">
        <f t="shared" si="99"/>
        <v>61.50817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porkefe 4,8x9mm szürke</v>
      </c>
      <c r="C3165" s="185">
        <f t="shared" si="99"/>
        <v>92.262690000000006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ütközés csillapító Top SV80 - 2db</v>
      </c>
      <c r="C3166" s="185">
        <f t="shared" si="99"/>
        <v>21497.166109999998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támfalas kefe becsúsztatható 14x4mm fehér</v>
      </c>
      <c r="C3167" s="185">
        <f t="shared" si="99"/>
        <v>149.05521999999999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vezető profil 3m oliva</v>
      </c>
      <c r="C3168" s="185" t="e">
        <f t="shared" si="99"/>
        <v>#N/A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"U" profil rétegelt lemezhez 36mm 3m oliva</v>
      </c>
      <c r="C3169" s="185">
        <f t="shared" si="99"/>
        <v>6500.2066100000002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"U" Mini profil 18 mm-es rétegeltlemezre 3m oliva</v>
      </c>
      <c r="C3170" s="185">
        <f t="shared" si="99"/>
        <v>1792.81519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összekötő profil H30 3m fényes fehér</v>
      </c>
      <c r="C3171" s="185" t="e">
        <f t="shared" si="99"/>
        <v>#N/A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szögletvas 18x36mm 3m oliva</v>
      </c>
      <c r="C3172" s="185">
        <f t="shared" si="99"/>
        <v>5168.1146799999997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szögletvas 36x36mm 3m oliva</v>
      </c>
      <c r="C3173" s="185" t="e">
        <f t="shared" si="99"/>
        <v>#N/A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szögletvas 36x36mm 3m ezüst</v>
      </c>
      <c r="C3174" s="185">
        <f t="shared" si="99"/>
        <v>5478.6024299999999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 ék rétegelt lemezhez vastagság 2mm (100 db)</v>
      </c>
      <c r="C3175" s="185">
        <f t="shared" si="99"/>
        <v>3385.3154599999998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fogantyú profil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ütközés csillapító Mini SV-60 (40 - 60kg)</v>
      </c>
      <c r="C3177" s="185">
        <f t="shared" si="99"/>
        <v>3772.5116400000002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porfogó kefe öntapadó 6,7x13mm szürke</v>
      </c>
      <c r="C3178" s="185">
        <f t="shared" si="99"/>
        <v>149.22027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dísz profil S18 ragasztóval 3m ezüst</v>
      </c>
      <c r="C3179" s="185">
        <f t="shared" si="99"/>
        <v>4426.9511599999996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dísz profil S18 ragasztóval 3m oliva</v>
      </c>
      <c r="C3180" s="185">
        <f t="shared" si="99"/>
        <v>5288.3034799999996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Elegant II alsó vezetés 6m fényes fehér</v>
      </c>
      <c r="C3181" s="185">
        <f t="shared" si="99"/>
        <v>14592.91346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alsó vezetés 1,7m oliva</v>
      </c>
      <c r="C3182" s="185">
        <f t="shared" si="99"/>
        <v>4116.4633899999999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alsó vezetés 2,35m oliva</v>
      </c>
      <c r="C3183" s="185">
        <f t="shared" si="99"/>
        <v>5698.9484899999998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alsó vezetés 3m oliva</v>
      </c>
      <c r="C3184" s="185">
        <f t="shared" si="99"/>
        <v>7271.4172099999996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alsó vezetés 4,05m oliva</v>
      </c>
      <c r="C3185" s="185">
        <f t="shared" si="99"/>
        <v>9815.4118799999997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alsó vezetés 6m oliva</v>
      </c>
      <c r="C3186" s="185">
        <f t="shared" si="99"/>
        <v>14542.83482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alsó vezetés 1,7m ezüst</v>
      </c>
      <c r="C3187" s="185" t="e">
        <f t="shared" si="99"/>
        <v>#N/A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Hide M alsó vezetés 2,35m ezüst</v>
      </c>
      <c r="C3188" s="185" t="e">
        <f t="shared" si="99"/>
        <v>#N/A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Hide M alsó vezetés 6m ezüst</v>
      </c>
      <c r="C3189" s="185">
        <f t="shared" si="99"/>
        <v>6618.2350800000004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szett Fold 2 ajtószárnyra balos</v>
      </c>
      <c r="C3190" s="185" t="e">
        <f t="shared" si="99"/>
        <v>#N/A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szett Fold 2 ajtószárnyra jobbos</v>
      </c>
      <c r="C3191" s="185" t="e">
        <f t="shared" si="99"/>
        <v>#N/A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takaró profil Galaxy 1,5m ezüst</v>
      </c>
      <c r="C3192" s="185" t="e">
        <f t="shared" si="99"/>
        <v>#N/A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fogantyú profil 10mm 2,5m ezüst</v>
      </c>
      <c r="C3193" s="185" t="e">
        <f t="shared" si="99"/>
        <v>#N/A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fogantyú profil 10mm 2,5m ezüst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sín Galaxy B 50kg a falra 1,5m</v>
      </c>
      <c r="C3195" s="185">
        <f t="shared" si="99"/>
        <v>3701.89113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sín Galaxy B 50kg a falra 2,5m</v>
      </c>
      <c r="C3196" s="185" t="e">
        <f t="shared" si="99"/>
        <v>#N/A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sín Galaxy B 50kg a falra 4m</v>
      </c>
      <c r="C3197" s="185">
        <f t="shared" si="99"/>
        <v>9868.4363300000005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sín Galaxy S 50kg a mennyezetbe 1,5m</v>
      </c>
      <c r="C3198" s="185">
        <f t="shared" si="99"/>
        <v>3525.1430799999998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sín Galaxy S 50kg a mennyezetbe 2,5m</v>
      </c>
      <c r="C3199" s="185" t="e">
        <f t="shared" si="99"/>
        <v>#N/A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sín Galaxy S 50kg a mennyezetbe 4m</v>
      </c>
      <c r="C3200" s="185">
        <f t="shared" si="99"/>
        <v>9397.1080999999995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Gemini felső vezetés 6m fényes fehér</v>
      </c>
      <c r="C3201" s="185">
        <f t="shared" si="99"/>
        <v>24999.252980000001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>K-SEVROLL görgő szett 2 ajtószárnyra 18mm + sablon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szett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Herkules Glass vasalat szett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födém tartó ferde mennyezetnél</v>
      </c>
      <c r="C3205" s="185" t="e">
        <f t="shared" si="101"/>
        <v>#N/A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takaró profil Elegant II 1,7m arany</v>
      </c>
      <c r="C3206" s="185">
        <f t="shared" si="101"/>
        <v>1231.93427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takaró profil Elegant II 2,35m arany</v>
      </c>
      <c r="C3207" s="185">
        <f t="shared" si="101"/>
        <v>1702.6734799999999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takaró profil Elegant II 3m arany</v>
      </c>
      <c r="C3208" s="185">
        <f t="shared" si="101"/>
        <v>2183.4282699999999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takaró profil Elegant II 4,05m arany</v>
      </c>
      <c r="C3209" s="185">
        <f t="shared" si="101"/>
        <v>2944.62372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takaró profil Elegant II 6m arany</v>
      </c>
      <c r="C3210" s="185">
        <f t="shared" si="101"/>
        <v>4356.8409799999999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 04296  takaró profil Elegant II 1,7m oliva</v>
      </c>
      <c r="C3211" s="185">
        <f t="shared" si="101"/>
        <v>1231.93427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takaró profil Elegant II 1,7m fényes fehér</v>
      </c>
      <c r="C3212" s="185">
        <f t="shared" si="101"/>
        <v>1282.0129099999999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takaró profil Elegant II 1,7m ezüst</v>
      </c>
      <c r="C3213" s="185">
        <f t="shared" si="101"/>
        <v>991.55706999999995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 04297  takaró profil Elegant II 2,35m oliva</v>
      </c>
      <c r="C3214" s="185">
        <f t="shared" si="101"/>
        <v>1702.6734799999999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 04314  takaró profil Elegant II 2,35m fényes fehér</v>
      </c>
      <c r="C3215" s="185">
        <f t="shared" si="101"/>
        <v>1772.7836600000001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 04303 takaró profil Elegant II 2,35m ezüst</v>
      </c>
      <c r="C3216" s="185">
        <f t="shared" si="101"/>
        <v>1362.1386299999999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ütközés csillapító Mini SV25 (14-25kg)</v>
      </c>
      <c r="C3217" s="185">
        <f t="shared" si="101"/>
        <v>9041.7265599999992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csillapító Central 10/18mm kétoldalú 25kg</v>
      </c>
      <c r="C3218" s="185">
        <f t="shared" si="101"/>
        <v>19364.876939999998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alsó vezetés 1,7m oliva</v>
      </c>
      <c r="C3219" s="185">
        <f t="shared" si="101"/>
        <v>4006.2905700000001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alsó görgő WD10 V 2db finomáll.nélk.</v>
      </c>
      <c r="C3221" s="185">
        <f t="shared" si="101"/>
        <v>2368.0710600000002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alsó görgő V 10mm - 2db + finomállító</v>
      </c>
      <c r="C3222" s="185" t="e">
        <f t="shared" si="101"/>
        <v>#N/A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szerelő eszköz 10 mm-es rétegelt lemezre kicsi (akció)</v>
      </c>
      <c r="C3223" s="185" t="e">
        <f t="shared" si="101"/>
        <v>#N/A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összekötő profil Simple/Blue H28 3m (18 mm-es rétegeltlemez) ezüst</v>
      </c>
      <c r="C3224" s="185">
        <f t="shared" si="101"/>
        <v>7751.701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Elegant II alsó vezetés 6m arany</v>
      </c>
      <c r="C3225" s="185">
        <f t="shared" si="101"/>
        <v>14122.17425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alsó görgő V 10mm + szerelési készlet ingyen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alsó görgő V 10mm + Fix + fúró ingyen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Pax XL fogantyú profil 2,7m ezüst</v>
      </c>
      <c r="C3228" s="185">
        <f t="shared" si="101"/>
        <v>9024.1693500000001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Pax XL felső vezető profil 3m ezüst</v>
      </c>
      <c r="C3229" s="185" t="e">
        <f t="shared" si="101"/>
        <v>#N/A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Pax XL alsó takaró profil 3m ezüst</v>
      </c>
      <c r="C3230" s="185">
        <f t="shared" si="101"/>
        <v>11197.582060000001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tömítés Pax XL profilhoz</v>
      </c>
      <c r="C3231" s="185">
        <f t="shared" si="101"/>
        <v>235.78189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 összekötő profil Simple/Blue H21 3m (18 mm-es rétegeltlemez) ezüs</v>
      </c>
      <c r="C3232" s="185">
        <f t="shared" si="101"/>
        <v>4465.8751000000002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Fogantyú profil minta 2017 irattartó ÁRUSÍTÁS</v>
      </c>
      <c r="C3233" s="185" t="e">
        <f t="shared" si="101"/>
        <v>#N/A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fogantyú profil 18mm 2,70m ezüst</v>
      </c>
      <c r="C3234" s="185">
        <f t="shared" si="101"/>
        <v>4872.7885500000002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 04747 Rekord fogantyú profil 18mm 2,70m oliva</v>
      </c>
      <c r="C3235" s="185">
        <f t="shared" si="101"/>
        <v>6093.5288499999997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fék (2db a csomagolásban)</v>
      </c>
      <c r="C3236" s="185">
        <f t="shared" si="101"/>
        <v>230.36161999999999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vasalat szett Mini csillapítóhoz</v>
      </c>
      <c r="C3237" s="185">
        <f t="shared" si="101"/>
        <v>820.11125000000004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 t="e">
        <f t="shared" si="101"/>
        <v>#N/A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SEVROLL10227-SV  Eden vasalat szett két ajtóra</v>
      </c>
      <c r="C3239" s="185">
        <f t="shared" si="101"/>
        <v>18038.323110000001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 Eden vasalat szett belső ajtóra</v>
      </c>
      <c r="C3240" s="185">
        <f t="shared" si="101"/>
        <v>8913.9965200000006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felső vezetés 1,7m ezüst</v>
      </c>
      <c r="C3241" s="185">
        <f t="shared" si="101"/>
        <v>3134.92229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Eden felső vezetés 1,7m fényes fehér</v>
      </c>
      <c r="C3242" s="185" t="e">
        <f t="shared" si="101"/>
        <v>#N/A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felső vezetés 2,35m ezüst</v>
      </c>
      <c r="C3243" s="185">
        <f t="shared" si="101"/>
        <v>4326.7938999999997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Eden felső vezetés 2,35m fényes fehér</v>
      </c>
      <c r="C3244" s="185" t="e">
        <f t="shared" si="101"/>
        <v>#N/A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felső vezetés 3m ezüst</v>
      </c>
      <c r="C3245" s="185">
        <f t="shared" si="101"/>
        <v>5528.6810599999999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Eden felső vezetés 3m fényes fehér</v>
      </c>
      <c r="C3246" s="185">
        <f t="shared" si="101"/>
        <v>7191.2914899999996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Eden felső vezetés 6m ezüst</v>
      </c>
      <c r="C3247" s="185">
        <f t="shared" si="101"/>
        <v>11057.36212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Eden felső vezetés 6m fényes fehér</v>
      </c>
      <c r="C3248" s="185">
        <f t="shared" si="101"/>
        <v>14372.5674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Eden vízszintes profil 1,7m ezüst</v>
      </c>
      <c r="C3249" s="185" t="e">
        <f t="shared" si="101"/>
        <v>#N/A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Eden XL vízszintes profil 1,7m ezüst</v>
      </c>
      <c r="C3250" s="185">
        <f t="shared" si="101"/>
        <v>9434.8143600000003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Eden XL vízszintes profil 1,7m fényes fehér</v>
      </c>
      <c r="C3251" s="185" t="e">
        <f t="shared" si="101"/>
        <v>#N/A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Eden vízszintes profil 1,7m fényes fehér</v>
      </c>
      <c r="C3252" s="185" t="e">
        <f t="shared" si="101"/>
        <v>#N/A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Eden vízszintes profil 2,35m fényes fehér</v>
      </c>
      <c r="C3253" s="185">
        <f t="shared" si="101"/>
        <v>15223.90415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Eden XL vízszintes profil 2,35m fényes fehér</v>
      </c>
      <c r="C3254" s="185" t="e">
        <f t="shared" si="101"/>
        <v>#N/A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Eden XL vízszintes profil 2,35m ezüst</v>
      </c>
      <c r="C3255" s="185" t="e">
        <f t="shared" si="101"/>
        <v>#N/A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Eden vízszintes profil 2,35m ezüst</v>
      </c>
      <c r="C3256" s="185" t="e">
        <f t="shared" si="101"/>
        <v>#N/A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Eden vízszintes profil 3m ezüst</v>
      </c>
      <c r="C3257" s="185" t="e">
        <f t="shared" si="101"/>
        <v>#N/A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Eden XL vízszintes profil 3m ezüst</v>
      </c>
      <c r="C3258" s="185" t="e">
        <f t="shared" si="101"/>
        <v>#N/A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Eden XL vízszintes profil 3m fényes fehér</v>
      </c>
      <c r="C3259" s="185" t="e">
        <f t="shared" si="101"/>
        <v>#N/A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Eden vízszintes profil 3m fényes fehér</v>
      </c>
      <c r="C3260" s="185">
        <f t="shared" si="101"/>
        <v>19430.509249999999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Eden felső takaró elem 1,1m ezüst</v>
      </c>
      <c r="C3261" s="185">
        <f t="shared" si="101"/>
        <v>1442.26478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szerelési eszköz Eden/Pax-hoz</v>
      </c>
      <c r="C3262" s="185" t="e">
        <f t="shared" si="101"/>
        <v>#N/A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PAX távtartó profil 04 3m ezüst</v>
      </c>
      <c r="C3263" s="185">
        <f t="shared" si="101"/>
        <v>1382.1701800000001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távtartó profil 04 3m fényes fehér</v>
      </c>
      <c r="C3264" s="185">
        <f t="shared" si="101"/>
        <v>1792.81519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takaró profil Elegant II 1,7m oliva szálcsiszolt</v>
      </c>
      <c r="C3265" s="185">
        <f t="shared" si="101"/>
        <v>1792.81519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takaró profil Elegant II 1,7m oliva sötét szálcsiszolt</v>
      </c>
      <c r="C3266" s="185">
        <f t="shared" si="101"/>
        <v>1792.81519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takaró profil Elegant II 1,7m fekete szálcsiszolt</v>
      </c>
      <c r="C3267" s="185">
        <f t="shared" si="101"/>
        <v>1792.81519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 04349-Y  takaró profil Elegant II 2,35m oliva szálcsiszolt</v>
      </c>
      <c r="C3268" s="185">
        <f t="shared" ref="C3268:C3331" si="103">IF($A$2=1,H3268,IF($A$2=2,I3268,IF($A$2=3,J3268,IF($A$2=4,K3268,IF($A$2&gt;4,O3268,"zadat jazyk")))))</f>
        <v>2463.8685500000001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takaró profil Elegant II 2,35m oliva sötét szálcsiszolt</v>
      </c>
      <c r="C3269" s="185">
        <f t="shared" si="103"/>
        <v>2463.8685500000001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takaró profil Elegant II 2,35m fekete szálcsiszolt</v>
      </c>
      <c r="C3270" s="185">
        <f t="shared" si="103"/>
        <v>2463.8685500000001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takaró profil Elegant II 3m ezüst</v>
      </c>
      <c r="C3271" s="185">
        <f t="shared" si="103"/>
        <v>1742.7365600000001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 04298  takaró profil Elegant II 3m oliva</v>
      </c>
      <c r="C3272" s="185">
        <f t="shared" si="103"/>
        <v>2183.4282699999999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 takaró profil Elegant II 3m oliva szálcsiszolt</v>
      </c>
      <c r="C3273" s="185">
        <f t="shared" si="103"/>
        <v>3144.9382599999999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takaró profil Elegant II 3m oliva sötét szálcsiszolt</v>
      </c>
      <c r="C3274" s="185">
        <f t="shared" si="103"/>
        <v>3144.9382599999999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 04355 takaró profil Elegant II 3m fekete szálcsiszolt</v>
      </c>
      <c r="C3275" s="185">
        <f t="shared" si="103"/>
        <v>3144.9382599999999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 takaró profil Elegant II 3m fényes fehér</v>
      </c>
      <c r="C3276" s="185">
        <f t="shared" si="103"/>
        <v>2263.5540099999998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 takaró profil Elegant II 4,05m ezüst</v>
      </c>
      <c r="C3277" s="185">
        <f t="shared" si="103"/>
        <v>2353.6957200000002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 04299  takaró profil Elegant II 4,05m oliva</v>
      </c>
      <c r="C3278" s="185">
        <f t="shared" si="103"/>
        <v>2944.62372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takaró profil Elegant II 4,05m oliva szálcsiszolt</v>
      </c>
      <c r="C3279" s="185">
        <f t="shared" si="103"/>
        <v>4246.6681500000004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takaró profil Elegant II 4,05m oliva sötét szálcsiszolt</v>
      </c>
      <c r="C3280" s="185">
        <f t="shared" si="103"/>
        <v>4246.6681500000004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 takaró profil Elegant II 4,05m fekete szálcsiszolt</v>
      </c>
      <c r="C3281" s="185">
        <f t="shared" si="103"/>
        <v>4246.6681500000004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takaró profil Elegant II 4,05m fényes fehér</v>
      </c>
      <c r="C3282" s="185">
        <f t="shared" si="103"/>
        <v>3054.79655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 04307 takaró profil Elegant II 6m ezüst</v>
      </c>
      <c r="C3283" s="185">
        <f t="shared" si="103"/>
        <v>3485.4726999999998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takaró profil Elegant II 6m oliva</v>
      </c>
      <c r="C3284" s="185">
        <f t="shared" si="103"/>
        <v>4356.8409799999999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takaró profil Elegant II 6m oliva szálcsiszolt</v>
      </c>
      <c r="C3285" s="185">
        <f t="shared" si="103"/>
        <v>6289.8761000000004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takaró profil Elegant II 6m oliva sötét szálcsiszolt</v>
      </c>
      <c r="C3286" s="185" t="e">
        <f t="shared" si="103"/>
        <v>#N/A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takaró profil Elegant II 6m fekete szálcsiszolt</v>
      </c>
      <c r="C3287" s="185">
        <f t="shared" si="103"/>
        <v>6289.8761000000004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takaró profil Elegant II 6m fényes fehér</v>
      </c>
      <c r="C3288" s="185">
        <f t="shared" si="103"/>
        <v>4527.1084300000002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Herkules plus felső vezetés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Herkules plus felső vezetés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csavar Blue 6,3x45</v>
      </c>
      <c r="C3291" s="185">
        <f t="shared" si="103"/>
        <v>61.50817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 04512 Era fogantyú profil 18mm 2,70m ezüst</v>
      </c>
      <c r="C3292" s="185">
        <f t="shared" si="103"/>
        <v>4679.5044900000003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 04472  Blue felső vezetés 2m ezüst</v>
      </c>
      <c r="C3293" s="185">
        <f t="shared" si="103"/>
        <v>5900.2447899999997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 04496  Blue-V alsó vezetés 2m ezüst</v>
      </c>
      <c r="C3294" s="185">
        <f t="shared" si="103"/>
        <v>3153.5790999999999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Blue-C alsó vezetés 2m ezüst</v>
      </c>
      <c r="C3295" s="185">
        <f t="shared" si="103"/>
        <v>2716.14725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 felső görgő Blue (18 mm-es rétegeltlemez) keretes J+B</v>
      </c>
      <c r="C3296" s="185">
        <f t="shared" si="103"/>
        <v>1435.1946800000001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alsó görgő Blue C keretes rendszer - 2db</v>
      </c>
      <c r="C3297" s="185">
        <f t="shared" si="103"/>
        <v>1158.40705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felső görgő Blue (18 mm-es rétegeltlemez) keret nélküli J+B</v>
      </c>
      <c r="C3298" s="185">
        <f t="shared" si="103"/>
        <v>1435.1946800000001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alsó görgő Blue V keret nélküli 18mm-hez - 2db</v>
      </c>
      <c r="C3299" s="185">
        <f t="shared" si="103"/>
        <v>1896.5072500000001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alsó görgő Blue C keret nélküli 18mm-hez - 2db</v>
      </c>
      <c r="C3300" s="185">
        <f t="shared" si="103"/>
        <v>1896.5072500000001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 Era fogantyú profil 18mm 2,70m oliva</v>
      </c>
      <c r="C3301" s="185">
        <f t="shared" si="103"/>
        <v>5849.3806000000004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Blue felső vezetés 1,5m ezüst</v>
      </c>
      <c r="C3302" s="185">
        <f t="shared" si="103"/>
        <v>4425.1835799999999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Blue felső vezetés 1,5m oliva</v>
      </c>
      <c r="C3303" s="185">
        <f t="shared" si="103"/>
        <v>5534.0228800000004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 04466 Blue felső vezetés 2m oliva</v>
      </c>
      <c r="C3304" s="185">
        <f t="shared" si="103"/>
        <v>7375.3059899999998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Blue felső vezetés 2,5m ezüst</v>
      </c>
      <c r="C3305" s="185">
        <f t="shared" si="103"/>
        <v>7375.3059899999998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Blue felső vezetés 2,5m oliva</v>
      </c>
      <c r="C3306" s="185">
        <f t="shared" si="103"/>
        <v>9216.5891300000003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 04468 Blue felső vezetés 3m oliva</v>
      </c>
      <c r="C3307" s="185">
        <f t="shared" si="103"/>
        <v>11068.045319999999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 04474 Blue felső vezetés 3m ezüst</v>
      </c>
      <c r="C3308" s="185">
        <f t="shared" si="103"/>
        <v>8850.3671900000008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 04475 Blue felső vezetés 4m ezüst</v>
      </c>
      <c r="C3309" s="185">
        <f t="shared" si="103"/>
        <v>11800.489600000001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felső vezetés 4m oliva</v>
      </c>
      <c r="C3310" s="185">
        <f t="shared" si="103"/>
        <v>14750.61198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04469-M Blue felső vezetés 6m oliva</v>
      </c>
      <c r="C3311" s="185">
        <f t="shared" si="103"/>
        <v>22125.917969999999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 04476  Blue felső vezetés 6m ezüst</v>
      </c>
      <c r="C3312" s="185" t="e">
        <f t="shared" si="103"/>
        <v>#N/A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 04490 Blue-V alsó vezetés 2m oliva</v>
      </c>
      <c r="C3313" s="185">
        <f t="shared" si="103"/>
        <v>3947.06023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Blue-V alsó vezetés 1,5m ezüst</v>
      </c>
      <c r="C3314" s="185">
        <f t="shared" si="103"/>
        <v>2370.2706699999999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Blue-V alsó vezetés 2,5m oliva</v>
      </c>
      <c r="C3315" s="185">
        <f t="shared" si="103"/>
        <v>4923.6526999999996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Blue-V alsó vezetés 1,5m oliva</v>
      </c>
      <c r="C3316" s="185">
        <f t="shared" si="103"/>
        <v>2960.2950700000001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Blue-V alsó vezetés 2,5m ezüst</v>
      </c>
      <c r="C3317" s="185">
        <f t="shared" si="103"/>
        <v>3947.06023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 04498 Blue-V alsó vezetés 3m ezüst</v>
      </c>
      <c r="C3318" s="185">
        <f t="shared" si="103"/>
        <v>4730.3686699999998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 04492 Blue-V alsó vezetés 3m oliva</v>
      </c>
      <c r="C3319" s="185">
        <f t="shared" si="103"/>
        <v>5910.4174800000001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 Blue-V alsó vezetés 4m oliva</v>
      </c>
      <c r="C3320" s="185">
        <f t="shared" si="103"/>
        <v>7883.9477800000004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Blue-V alsó vezetés 6m oliva</v>
      </c>
      <c r="C3321" s="185">
        <f t="shared" si="103"/>
        <v>11831.00801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 04500 Blue-V alsó vezetés 6m ezüst</v>
      </c>
      <c r="C3322" s="185">
        <f t="shared" si="103"/>
        <v>9460.7373399999997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 Blue-V alsó vezetés 4m ezüst</v>
      </c>
      <c r="C3323" s="185">
        <f t="shared" si="103"/>
        <v>6307.1582399999998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 rögzítő ék Blue 40db (üveg 4mm)</v>
      </c>
      <c r="C3324" s="185">
        <f t="shared" si="103"/>
        <v>4838.6564200000003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Blue-C alsó vezetés 1,5m ezüst</v>
      </c>
      <c r="C3325" s="185" t="e">
        <f t="shared" si="103"/>
        <v>#N/A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Blue-C alsó vezetés 1,5m oliva</v>
      </c>
      <c r="C3326" s="185" t="e">
        <f t="shared" si="103"/>
        <v>#N/A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Blue-C alsó vezetés 2m oliva</v>
      </c>
      <c r="C3327" s="185" t="e">
        <f t="shared" si="103"/>
        <v>#N/A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Blue-C alsó vezetés 2,5m ezüst</v>
      </c>
      <c r="C3328" s="185" t="e">
        <f t="shared" si="103"/>
        <v>#N/A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Blue-C alsó vezetés 2,5m oliva</v>
      </c>
      <c r="C3329" s="185" t="e">
        <f t="shared" si="103"/>
        <v>#N/A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Blue-C alsó vezetés 3m ezüst</v>
      </c>
      <c r="C3330" s="185">
        <f t="shared" si="103"/>
        <v>3926.7144899999998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Blue-C alsó vezetés 3m oliva</v>
      </c>
      <c r="C3331" s="185" t="e">
        <f t="shared" si="103"/>
        <v>#N/A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Blue-C alsó vezetés 4m ezüst</v>
      </c>
      <c r="C3332" s="185">
        <f t="shared" ref="C3332:C3395" si="105">IF($A$2=1,H3332,IF($A$2=2,I3332,IF($A$2=3,J3332,IF($A$2=4,K3332,IF($A$2&gt;4,O3332,"zadat jazyk")))))</f>
        <v>5259.3562300000003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Blue-C alsó vezetés 4m oliva</v>
      </c>
      <c r="C3333" s="185" t="e">
        <f t="shared" si="105"/>
        <v>#N/A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Blue-C alsó vezetés 6m ezüst</v>
      </c>
      <c r="C3334" s="185" t="e">
        <f t="shared" si="105"/>
        <v>#N/A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Blue-C alsó vezetés 6m oliva</v>
      </c>
      <c r="C3335" s="185" t="e">
        <f t="shared" si="105"/>
        <v>#N/A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 felső görgő Blue 10mm aszimmetrikus J+B</v>
      </c>
      <c r="C3336" s="185">
        <f t="shared" si="105"/>
        <v>1435.1946800000001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felső görgő Blue 10mm szimmetrikus J+B</v>
      </c>
      <c r="C3337" s="185">
        <f t="shared" si="105"/>
        <v>1435.1946800000001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ütközés csillapító Simple/Blue 10/18 25kg J+B</v>
      </c>
      <c r="C3338" s="185">
        <f t="shared" si="105"/>
        <v>9728.5697999999993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 Elegant II alsó vezetés 6m ezüst</v>
      </c>
      <c r="C3339" s="185">
        <f t="shared" si="105"/>
        <v>11227.629139999999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04278Elegant II alsó vezetés 6m oliva</v>
      </c>
      <c r="C3340" s="185">
        <f t="shared" si="105"/>
        <v>14122.17425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profile acél 6m ezüst</v>
      </c>
      <c r="C3341" s="185" t="e">
        <f t="shared" si="105"/>
        <v>#N/A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zár tolóajtóra 18 mm (azonos kulcs)</v>
      </c>
      <c r="C3342" s="185" t="e">
        <f t="shared" si="105"/>
        <v>#N/A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Gemini II alsó vezetés 1,7m fényes fehér</v>
      </c>
      <c r="C3343" s="185" t="e">
        <f t="shared" si="105"/>
        <v>#N/A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Gemini II alsó vezetés 2,35m fényes fehér</v>
      </c>
      <c r="C3344" s="185" t="e">
        <f t="shared" si="105"/>
        <v>#N/A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Gemini II alsó vezetés 3m fényes fehér</v>
      </c>
      <c r="C3345" s="185">
        <f t="shared" si="105"/>
        <v>7151.2288200000003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Gemini II alsó vezetés 4,05m fényes fehér</v>
      </c>
      <c r="C3346" s="185" t="e">
        <f t="shared" si="105"/>
        <v>#N/A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Gemini II alsó vezetés 6m fényes fehér</v>
      </c>
      <c r="C3347" s="185">
        <f t="shared" si="105"/>
        <v>14312.4732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ütközés csillapító Mini SV60 (40 - 60kg)</v>
      </c>
      <c r="C3348" s="185">
        <f t="shared" si="105"/>
        <v>9041.7265599999992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sablon görgőkhöz</v>
      </c>
      <c r="C3349" s="185">
        <f t="shared" si="105"/>
        <v>2169.2782900000002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Ursus felső vezetés 3,6m nyers</v>
      </c>
      <c r="C3350" s="185" t="e">
        <f t="shared" si="105"/>
        <v>#N/A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fogantyú profil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Pax fogantyú ragasztható transzparens</v>
      </c>
      <c r="C3352" s="185" t="e">
        <f t="shared" si="105"/>
        <v>#N/A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"U" profil rétegelt lemezhez 18mm 3m fényes fehér</v>
      </c>
      <c r="C3353" s="185">
        <f t="shared" si="105"/>
        <v>2383.7428100000002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támfalas kefe öntapadó 6,7x9mm szürke</v>
      </c>
      <c r="C3354" s="185">
        <f t="shared" si="105"/>
        <v>153.77086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alsó görgő WD18V finomállító nélkül rugóval</v>
      </c>
      <c r="C3355" s="185">
        <f t="shared" si="105"/>
        <v>2060.5293299999998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alsó görgő 18 mm-es rétegeltlemez finomállító nélkül rugó nélkü</v>
      </c>
      <c r="C3356" s="185">
        <f t="shared" si="105"/>
        <v>1937.5129899999999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Pax XL fogantyú profil 2,7m matt fehér</v>
      </c>
      <c r="C3357" s="185" t="e">
        <f t="shared" si="105"/>
        <v>#N/A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tolóajtó zár Karat és Prosper fogantyú profilhoz</v>
      </c>
      <c r="C3358" s="185">
        <f t="shared" si="105"/>
        <v>14382.7009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dísz profil S18 ragasztóval 3m fényes fehér</v>
      </c>
      <c r="C3359" s="185">
        <f t="shared" si="105"/>
        <v>5759.0426799999996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Single felső vezetés 6m oliva</v>
      </c>
      <c r="C3360" s="185" t="e">
        <f t="shared" si="105"/>
        <v>#N/A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alsó görgő WD10 V Duo 60kg (2 db)</v>
      </c>
      <c r="C3361" s="185">
        <f t="shared" si="105"/>
        <v>7339.9954900000002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Oxford fogantyú profil 2,7m ezüst</v>
      </c>
      <c r="C3362" s="185" t="e">
        <f t="shared" si="105"/>
        <v>#N/A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Ekonomik fogantyú profil 2,7m ezüst</v>
      </c>
      <c r="C3363" s="185" t="e">
        <f t="shared" si="105"/>
        <v>#N/A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Ekonomik felső vezetés 2m ezüst</v>
      </c>
      <c r="C3364" s="185" t="e">
        <f t="shared" si="105"/>
        <v>#N/A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Ekonomik felső vezetés 3m ezüst</v>
      </c>
      <c r="C3365" s="185">
        <f t="shared" si="105"/>
        <v>9825.4274700000005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Ekonomik felső vezetés 6m ezüst</v>
      </c>
      <c r="C3366" s="185" t="e">
        <f t="shared" si="105"/>
        <v>#N/A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Ekonomik alsó vezetés 2m ezüst</v>
      </c>
      <c r="C3367" s="185" t="e">
        <f t="shared" si="105"/>
        <v>#N/A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Ekonomik alsó vezetés 3m ezüst</v>
      </c>
      <c r="C3368" s="185">
        <f t="shared" si="105"/>
        <v>5428.5237900000002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Ekonomik alsó vezetés 6m ezüst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felső görgő Ekonomik Duo</v>
      </c>
      <c r="C3370" s="185">
        <f t="shared" si="105"/>
        <v>799.60839999999996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alsó görgő Ekonomik WD10V</v>
      </c>
      <c r="C3371" s="185">
        <f t="shared" si="105"/>
        <v>1353.18363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csavar 2,9x6,5 Ekonomik (100 db)</v>
      </c>
      <c r="C3372" s="185">
        <f t="shared" si="105"/>
        <v>881.61941999999999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Ekonomik vasalat szett 2 ajtóra</v>
      </c>
      <c r="C3373" s="185" t="e">
        <f t="shared" si="105"/>
        <v>#N/A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csavar Unix 3x10mm (1000 db)</v>
      </c>
      <c r="C3374" s="185" t="e">
        <f t="shared" si="105"/>
        <v>#N/A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csavar Unix 3x16mm (100 db)</v>
      </c>
      <c r="C3375" s="185" t="e">
        <f t="shared" si="105"/>
        <v>#N/A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alátét legyező alakú 3x6mm (100 db)</v>
      </c>
      <c r="C3376" s="185">
        <f t="shared" si="105"/>
        <v>1983.11376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Ekonomik vasalat szett 3 ajtóra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Herkules plus felső vezetés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profile "U" Mini 36 2x18mm ezüst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imbusz kulcs Sevroll</v>
      </c>
      <c r="C3380" s="185">
        <f t="shared" si="105"/>
        <v>1552.4376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fogantyú profil 18mm 2,70m fehér fényes</v>
      </c>
      <c r="C3381" s="185">
        <f t="shared" si="105"/>
        <v>6215.6025399999999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fogantyú profil 2,7m ezüst</v>
      </c>
      <c r="C3382" s="185">
        <f t="shared" si="105"/>
        <v>5598.7912200000001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fogantyú profil 2,7m oliva</v>
      </c>
      <c r="C3383" s="185">
        <f t="shared" si="105"/>
        <v>7021.0240599999997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fogantyú profil 2,7m fehér fényes</v>
      </c>
      <c r="C3384" s="185">
        <f t="shared" si="105"/>
        <v>7271.4172099999996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tartó elem felső vezetéshez HPL-re 16 - 25mm</v>
      </c>
      <c r="C3385" s="185">
        <f t="shared" si="105"/>
        <v>883.74058000000002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Takaró léc  Sevroll  Herkules II 1,8m ezüst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Takaró profil SEVROLL Herakles 3m</v>
      </c>
      <c r="C3387" s="185" t="e">
        <f t="shared" si="105"/>
        <v>#N/A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Herakles felső vezetés 3m nyers</v>
      </c>
      <c r="C3388" s="185" t="e">
        <f t="shared" si="105"/>
        <v>#N/A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Herakles tompító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Herakles tompító 40-80kg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Herakles vasalat szett ZPH-18 egy szárnyra</v>
      </c>
      <c r="C3391" s="185">
        <f t="shared" si="105"/>
        <v>7246.6725800000004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tartó elem felső vezetéshez Herakles</v>
      </c>
      <c r="C3392" s="185">
        <f t="shared" si="105"/>
        <v>706.99252999999999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dísz profil S10 3m ezüst</v>
      </c>
      <c r="C3393" s="185" t="e">
        <f t="shared" si="105"/>
        <v>#N/A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dísz profil S20 3m ezüst</v>
      </c>
      <c r="C3394" s="185" t="e">
        <f t="shared" si="105"/>
        <v>#N/A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Simple sablon a görgőkhöz 18mm rétegeltlemezhez</v>
      </c>
      <c r="C3395" s="185">
        <f t="shared" si="105"/>
        <v>1881.7835700000001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 t="e">
        <f t="shared" ref="C3396:C3459" si="107">IF($A$2=1,H3396,IF($A$2=2,I3396,IF($A$2=3,J3396,IF($A$2=4,K3396,IF($A$2&gt;4,O3396,"zadat jazyk")))))</f>
        <v>#N/A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 t="e">
        <f t="shared" si="107"/>
        <v>#N/A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takaró profil Elegant II 3m fehér matt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felső sín tartó laminóhoz 25 - 45mm</v>
      </c>
      <c r="C3400" s="185" t="e">
        <f t="shared" si="107"/>
        <v>#N/A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 t="e">
        <f t="shared" si="107"/>
        <v>#N/A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 t="e">
        <f t="shared" si="107"/>
        <v>#N/A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 Akciós szett 20x fog.profil Rekord ezüst + 10x alsó és felső görgő szett</v>
      </c>
      <c r="C3403" s="185" t="e">
        <f t="shared" si="107"/>
        <v>#N/A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 Akciós szett 20x fog.profil Rekord ezüst + 10x alsó és felső görgő szett</v>
      </c>
      <c r="C3404" s="185" t="e">
        <f t="shared" si="107"/>
        <v>#N/A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 Akciós szett 20x fog.profil Era ezüst + 10x alsó és felső görgő szett</v>
      </c>
      <c r="C3405" s="185" t="e">
        <f t="shared" si="107"/>
        <v>#N/A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alsó vezető tartó Gemini</v>
      </c>
      <c r="C3406" s="185">
        <f t="shared" si="107"/>
        <v>90.141710000000003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Comfort alsó vezető 2,35m ezüst</v>
      </c>
      <c r="C3407" s="185" t="e">
        <f t="shared" si="107"/>
        <v>#N/A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Comfort alsó vezető 3m ezüst</v>
      </c>
      <c r="C3408" s="185">
        <f t="shared" si="107"/>
        <v>10366.276830000001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Comfort alsó vezető 4,05 m ezüst</v>
      </c>
      <c r="C3409" s="185" t="e">
        <f t="shared" si="107"/>
        <v>#N/A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minta ajtó Era/Rekord osztott</v>
      </c>
      <c r="C3410" s="185" t="e">
        <f t="shared" si="107"/>
        <v>#N/A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minta ajtó Era/Rekord tömör</v>
      </c>
      <c r="C3411" s="185" t="e">
        <f t="shared" si="107"/>
        <v>#N/A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A SEVROLL szivacs apró karcolások eltávolításához az ezüst alumínium profilokban</v>
      </c>
      <c r="C3412" s="185" t="e">
        <f t="shared" si="107"/>
        <v>#N/A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 Micra V vasalat szett 1 ajtószárnyra</v>
      </c>
      <c r="C3413" s="185">
        <f t="shared" si="107"/>
        <v>2443.8374100000001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felső vezető profil 1,8m oliva</v>
      </c>
      <c r="C3414" s="185" t="e">
        <f t="shared" si="107"/>
        <v>#N/A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alsó takaró profil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alsó takaró profil Simple/Blue 2m (RL: 18 mm) fényes fehér</v>
      </c>
      <c r="C3416" s="185">
        <f t="shared" si="107"/>
        <v>6775.10851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alsó takaró profil Simple/Blue 3m (RL: 18 mm) fényes fehér</v>
      </c>
      <c r="C3417" s="185">
        <f t="shared" si="107"/>
        <v>10152.490110000001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felső vezető profil Simple/Blue 2m (RL: 18mm) fehér fényes</v>
      </c>
      <c r="C3418" s="185">
        <f t="shared" si="107"/>
        <v>3458.7641899999999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SEVROLL04943  felső vezető profil Simple/Blue 3m (RL: 18mm) fehér fényes</v>
      </c>
      <c r="C3419" s="185">
        <f t="shared" si="107"/>
        <v>5188.1462799999999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összekötő profil Simple/Blue H21 3m (RL:18mm) fényes fehér</v>
      </c>
      <c r="C3420" s="185">
        <f t="shared" si="107"/>
        <v>5808.6891100000003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összekötő profil Simple/Blue H28 3m (RL:18mm) fényes fehér</v>
      </c>
      <c r="C3421" s="185">
        <f t="shared" si="107"/>
        <v>10060.93482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alsó vezetés 2m fehér fényes</v>
      </c>
      <c r="C3422" s="185">
        <f t="shared" si="107"/>
        <v>4099.6527800000003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alsó vezetés 3m fehér fényes</v>
      </c>
      <c r="C3423" s="185">
        <f t="shared" si="107"/>
        <v>6154.5656900000004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Blue-V alsó vezetés 6m fehér fényes</v>
      </c>
      <c r="C3424" s="185">
        <f t="shared" si="107"/>
        <v>12298.958689999999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felső vezetés 2m fehér fényes</v>
      </c>
      <c r="C3425" s="185">
        <f t="shared" si="107"/>
        <v>7670.3183900000004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felső vezetés 6m fehér fényes</v>
      </c>
      <c r="C3426" s="185">
        <f t="shared" si="107"/>
        <v>11505.47718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Blue felső vezetés 3m fehér fényes</v>
      </c>
      <c r="C3427" s="185">
        <f t="shared" si="107"/>
        <v>23010.95477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SEVROLL04921  Lynx fogantyú profil 2,7m ezüst</v>
      </c>
      <c r="C3428" s="185">
        <f t="shared" si="107"/>
        <v>8673.6189099999992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SEVROLL04920  Lynx fogantyú profil 2,7m oliva</v>
      </c>
      <c r="C3429" s="185" t="e">
        <f t="shared" si="107"/>
        <v>#N/A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SEVROLL05153  Alfa II profil 18mm 2,7m matt fehér</v>
      </c>
      <c r="C3430" s="185">
        <f t="shared" si="107"/>
        <v>6329.9391800000003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alsó vezetés 1,7m matt fehér</v>
      </c>
      <c r="C3431" s="185">
        <f t="shared" si="107"/>
        <v>4176.5579900000002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alsó vezetés 2,35m matt fehér</v>
      </c>
      <c r="C3432" s="185">
        <f t="shared" si="107"/>
        <v>5739.01116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alsó vezetés 4,05m matt fehér</v>
      </c>
      <c r="C3433" s="185">
        <f t="shared" si="107"/>
        <v>9875.5060699999995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Elegant II alsó vezetés 6m matt fehér</v>
      </c>
      <c r="C3434" s="185">
        <f t="shared" si="107"/>
        <v>14592.91346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felső vezetés 1,7m matt fehér</v>
      </c>
      <c r="C3435" s="185">
        <f t="shared" si="107"/>
        <v>7081.1186600000001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SEVROLL05172  Gemini felső vezetés 2,35m matt fehér</v>
      </c>
      <c r="C3436" s="185">
        <f t="shared" si="107"/>
        <v>9795.3803599999992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felső vezetés 4,05m matt fehér</v>
      </c>
      <c r="C3437" s="185">
        <f t="shared" si="107"/>
        <v>16876.499019999999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Gemini felső vezetés 6m matt fehér</v>
      </c>
      <c r="C3438" s="185">
        <f t="shared" si="107"/>
        <v>24999.252980000001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szögletvas Mini 17x11mm 1,7m matt fehér</v>
      </c>
      <c r="C3439" s="185">
        <f t="shared" si="107"/>
        <v>1221.9187199999999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SEVROLL05137 szögletvas Mini 17x11mm 2,35m matt fehér</v>
      </c>
      <c r="C3440" s="185">
        <f t="shared" si="107"/>
        <v>1692.6579200000001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takaró profil Elegant II 6m matt fehér</v>
      </c>
      <c r="C3441" s="185">
        <f t="shared" si="107"/>
        <v>4527.1084300000002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takaró profil Elegant II 1,7m matt fehér</v>
      </c>
      <c r="C3442" s="185">
        <f t="shared" si="107"/>
        <v>1282.0129099999999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Capitol takaró profil 2m ezüst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Capitol alsó vezetés 2m ezüst</v>
      </c>
      <c r="C3444" s="185" t="e">
        <f t="shared" si="107"/>
        <v>#N/A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Capitol felső vezetés 2m ezüst</v>
      </c>
      <c r="C3445" s="185" t="e">
        <f t="shared" si="107"/>
        <v>#N/A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Capitol vasalat szett két ajtóra</v>
      </c>
      <c r="C3446" s="185" t="e">
        <f t="shared" si="107"/>
        <v>#N/A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Capitol vasalat szett belső ajtóra</v>
      </c>
      <c r="C3447" s="185" t="e">
        <f t="shared" si="107"/>
        <v>#N/A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05164takaró profil Elegant II 2,35m matt fehér</v>
      </c>
      <c r="C3448" s="185">
        <f t="shared" si="107"/>
        <v>1772.7836600000001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 04438 takaró profil Elegant II 3m matt fehér</v>
      </c>
      <c r="C3449" s="185">
        <f t="shared" si="107"/>
        <v>2263.5540099999998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takaró profil Elegant II 4,05m matt fehér</v>
      </c>
      <c r="C3450" s="185">
        <f t="shared" si="107"/>
        <v>3054.79655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profil 18mm 2,7m fényes fekete</v>
      </c>
      <c r="C3451" s="185">
        <f t="shared" si="107"/>
        <v>6329.9391800000003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fogantyú profil 2,7m fényes fekete</v>
      </c>
      <c r="C3452" s="185">
        <f t="shared" si="107"/>
        <v>8313.0529399999996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összekötő profil H10 3m fényes fekete</v>
      </c>
      <c r="C3453" s="185">
        <f t="shared" si="107"/>
        <v>6089.5615900000003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SEVROLL05176  Gemini felső vezetés 2,35m fényes fekete</v>
      </c>
      <c r="C3454" s="185">
        <f t="shared" si="107"/>
        <v>9795.3803599999992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alsó vezetés 2,35m fényes fekete</v>
      </c>
      <c r="C3455" s="185">
        <f t="shared" si="107"/>
        <v>5739.01116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SEVROLL05168  takaró profil Elegant II 2,35m fényes fekete</v>
      </c>
      <c r="C3456" s="185">
        <f t="shared" si="107"/>
        <v>1772.7836600000001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- beltéri ajtó vasalat</v>
      </c>
      <c r="C3457" s="185" t="e">
        <f t="shared" si="107"/>
        <v>#N/A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görgő beltéri ajtóhoz Simple 18 Inter/Galaxy 35/50kg</v>
      </c>
      <c r="C3458" s="185">
        <f t="shared" si="107"/>
        <v>3260.0208299999999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beltéri ajtó csillapító Simple 18 Galaxy 50kg</v>
      </c>
      <c r="C3459" s="185">
        <f t="shared" si="107"/>
        <v>9583.67533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tolóajtó szett Simple 18 Inter/ Galaxy 50 kg 2x fék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Takaró profil Herkules II 2m ezüst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Takaró profil Herkules Wood 2m ezüst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Herkules Wood takaró profil készlet ezüst, 2x végzáró és kefe 2,01m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felső vezetés egyszerű 2,35mm ezüst</v>
      </c>
      <c r="C3464" s="185">
        <f t="shared" si="109"/>
        <v>10055.789489999999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vasalat szett a belső ajtókhoz Simple  ZPI-18 50kg fék+csillapítás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vasalat szett a belső ajtókhoz Simple  ZPI-18 50kg 2x csillapítással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"U" profil rétegelt lemezhez 18mm 3m fényes fekete</v>
      </c>
      <c r="C3467" s="185">
        <f t="shared" si="109"/>
        <v>2383.7428100000002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szögletvas Mini 17x11mm 1,7m fényes fekete</v>
      </c>
      <c r="C3468" s="185">
        <f t="shared" si="109"/>
        <v>1221.9187199999999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szögletvas Mini 17x11mm 2,35m fényes fekete</v>
      </c>
      <c r="C3469" s="185">
        <f t="shared" si="109"/>
        <v>1692.6579200000001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SEVROLL05140 szögletvas Mini 17x11mm 3m fényes fekete</v>
      </c>
      <c r="C3470" s="185">
        <f t="shared" si="109"/>
        <v>2163.3967400000001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alsó takaró profil 1,7m 10mm fényes fekete</v>
      </c>
      <c r="C3471" s="185">
        <f t="shared" si="109"/>
        <v>7331.51181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alsó takaró profil 2,35m 10mm fényes fekete</v>
      </c>
      <c r="C3472" s="185">
        <f t="shared" si="109"/>
        <v>10125.899240000001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alsó takaró profil 3m 10mm fényes fekete</v>
      </c>
      <c r="C3473" s="185">
        <f t="shared" si="109"/>
        <v>12960.35014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felső vezető profil 1,7m fényes fekete</v>
      </c>
      <c r="C3474" s="185">
        <f t="shared" si="109"/>
        <v>4036.3376800000001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felső vezető profil 2,35m fényes fekete</v>
      </c>
      <c r="C3475" s="185">
        <f t="shared" si="109"/>
        <v>5588.7752499999997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felső vezető profil 3m fényes fekete</v>
      </c>
      <c r="C3476" s="185">
        <f t="shared" si="109"/>
        <v>7131.1972999999998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összekötő profil H18 3m fényes fekete</v>
      </c>
      <c r="C3477" s="185">
        <f t="shared" si="109"/>
        <v>5999.42029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alsó vezetés 1,7m fényes fekete</v>
      </c>
      <c r="C3478" s="185">
        <f t="shared" si="109"/>
        <v>4176.5579900000002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alsó vezetés 3m fényes fekete</v>
      </c>
      <c r="C3479" s="185">
        <f t="shared" si="109"/>
        <v>7291.4487600000002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SEVROLL05158  Elegant II alsó vezetés 4,05m fényes fekete</v>
      </c>
      <c r="C3480" s="185">
        <f t="shared" si="109"/>
        <v>9875.5060699999995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Elegant II alsó vezetés 6m fényes fekete</v>
      </c>
      <c r="C3481" s="185">
        <f t="shared" si="109"/>
        <v>14592.91346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felső vezetés 1,7m fényes fekete</v>
      </c>
      <c r="C3482" s="185">
        <f t="shared" si="109"/>
        <v>7081.1186600000001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SEVROLL05177  Gemini felső vezetés 3m fényes fekete</v>
      </c>
      <c r="C3483" s="185">
        <f t="shared" si="109"/>
        <v>12499.626490000001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felső vezetés 4,05m fényes fekete</v>
      </c>
      <c r="C3484" s="185">
        <f t="shared" si="109"/>
        <v>16876.499019999999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Gemini felső vezetés 6m fényes fekete</v>
      </c>
      <c r="C3485" s="185">
        <f t="shared" si="109"/>
        <v>24999.252980000001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takaró profil Elegant II 1,7m fényes fekete</v>
      </c>
      <c r="C3486" s="185">
        <f t="shared" si="109"/>
        <v>1282.0129099999999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SEVROLL05169  takaró profil Elegant II 3m fényes fekete</v>
      </c>
      <c r="C3487" s="185">
        <f t="shared" si="109"/>
        <v>2263.5540099999998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SEVROLL05170 takaró profil Elegant II 4,05m fényes fekete</v>
      </c>
      <c r="C3488" s="185">
        <f t="shared" si="109"/>
        <v>3054.79655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takaró profil Elegant II 6m fényes fekete</v>
      </c>
      <c r="C3489" s="185">
        <f t="shared" si="109"/>
        <v>4527.1084300000002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fogantyú profil 3m ezüst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fogantyú profil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felső vezetés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összekötő profil H18 3m matt fehér</v>
      </c>
      <c r="C3493" s="185">
        <f t="shared" si="109"/>
        <v>5999.42029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"U" profil RL-hez 18mm 3m matt fehér</v>
      </c>
      <c r="C3494" s="185">
        <f t="shared" si="109"/>
        <v>2383.7428100000002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felső vezetés 2,35m matt fekete</v>
      </c>
      <c r="C3495" s="185">
        <f t="shared" si="109"/>
        <v>9795.3803599999992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SEVROLL04835  Gemini felső vezetés 4,05m matt fekete</v>
      </c>
      <c r="C3496" s="185">
        <f t="shared" si="109"/>
        <v>16876.499019999999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alsó vezetés 4,05m matt fekete</v>
      </c>
      <c r="C3497" s="185">
        <f t="shared" si="109"/>
        <v>9875.5060699999995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 Elegant II alsó vezetés 2,35m matt fekete</v>
      </c>
      <c r="C3498" s="185">
        <f t="shared" si="109"/>
        <v>5739.01116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takaró profil Elegant II 2,35m matt fekete</v>
      </c>
      <c r="C3499" s="185">
        <f t="shared" si="109"/>
        <v>1772.7836600000001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takaró profil Elegant II 4,05m matt fekete</v>
      </c>
      <c r="C3500" s="185">
        <f t="shared" si="109"/>
        <v>3054.79655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szögletvas Mini 17x11mm 2,35m matt fekete</v>
      </c>
      <c r="C3501" s="185">
        <f t="shared" si="109"/>
        <v>1692.6579200000001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összekötő profil H18 3m matt fekete</v>
      </c>
      <c r="C3502" s="185">
        <f t="shared" si="109"/>
        <v>5999.42029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támfalas kefe becsúsztatható 14x4mm fekete</v>
      </c>
      <c r="C3503" s="185">
        <f t="shared" si="109"/>
        <v>149.05521999999999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támfalas kefe becsúsztatható 4,8x4mm fekete</v>
      </c>
      <c r="C3504" s="185">
        <f t="shared" si="109"/>
        <v>61.50817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szögletvas Mini 17x11mm 3m matt fekete</v>
      </c>
      <c r="C3505" s="185">
        <f t="shared" si="109"/>
        <v>2163.3967400000001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felső vezetés 3m matt fekete</v>
      </c>
      <c r="C3506" s="185">
        <f t="shared" si="109"/>
        <v>12499.626490000001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alsó vezetés 3m matt fekete</v>
      </c>
      <c r="C3507" s="185">
        <f t="shared" si="109"/>
        <v>7291.4487600000002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reklám sablon görgőkhöz 18 mm-es RL-hez</v>
      </c>
      <c r="C3508" s="185">
        <f t="shared" si="109"/>
        <v>0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reklám sablon görgőkhöz 18 mm-es RL-hez</v>
      </c>
      <c r="C3509" s="185" t="e">
        <f t="shared" si="109"/>
        <v>#N/A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takaró profil Elegant II 3m matt fekete</v>
      </c>
      <c r="C3510" s="185">
        <f t="shared" si="109"/>
        <v>2263.5540099999998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vasalat szett két ajtóra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alsó vezetés 150mm matt fehér (minta)</v>
      </c>
      <c r="C3512" s="185" t="e">
        <f t="shared" si="109"/>
        <v>#N/A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alsó vezetés 150mm fényes fekete (minta)</v>
      </c>
      <c r="C3513" s="185" t="e">
        <f t="shared" si="109"/>
        <v>#N/A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felső vezetés 1,7m matt fekete</v>
      </c>
      <c r="C3514" s="185">
        <f t="shared" si="109"/>
        <v>7081.1186600000001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Pax fogantyú ragasztható matt fekete</v>
      </c>
      <c r="C3515" s="185">
        <f t="shared" si="109"/>
        <v>3665.7557099999999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Pax végzáró profilhoz (4 db) matt fekete</v>
      </c>
      <c r="C3516" s="185">
        <f t="shared" si="109"/>
        <v>3567.4838199999999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"U" profil rétegelt lemezhez 18mm 3m matt fekete</v>
      </c>
      <c r="C3517" s="185">
        <f t="shared" si="109"/>
        <v>2383.7428100000002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szögletvas Mini 17x11mm 1,7m matt fekete</v>
      </c>
      <c r="C3518" s="185">
        <f t="shared" si="109"/>
        <v>1221.9187199999999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alsó takaró profil 1,7m 10mm matt fekete</v>
      </c>
      <c r="C3519" s="185">
        <f t="shared" si="109"/>
        <v>7331.51181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alsó takaró profil 2,35m 10mm matt fekete</v>
      </c>
      <c r="C3520" s="185">
        <f t="shared" si="109"/>
        <v>10125.899240000001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alsó takaró profil 3m 10mm matt fekete</v>
      </c>
      <c r="C3521" s="185">
        <f t="shared" si="109"/>
        <v>12960.35014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Pax alsó takaró profil 3m 4mm matt fekete</v>
      </c>
      <c r="C3522" s="185">
        <f t="shared" si="109"/>
        <v>13020.44433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Pax XL alsó takaró profil 3m matt fehér</v>
      </c>
      <c r="C3523" s="185" t="e">
        <f t="shared" si="109"/>
        <v>#N/A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Pax XL alsó takaró profil 3m matt matt fekete</v>
      </c>
      <c r="C3524" s="185">
        <f t="shared" ref="C3524:C3587" si="111">IF($A$2=1,H3524,IF($A$2=2,I3524,IF($A$2=3,J3524,IF($A$2=4,K3524,IF($A$2&gt;4,O3524,"zadat jazyk")))))</f>
        <v>14552.850409999999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felső vezető profil 1,7m matt fekete</v>
      </c>
      <c r="C3525" s="185">
        <f t="shared" si="111"/>
        <v>4036.3376800000001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Fox II fogantyú profil 2,7m matt fekete</v>
      </c>
      <c r="C3526" s="185">
        <f t="shared" si="111"/>
        <v>8313.0529399999996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fogantyú profil 2,7m matt fekete</v>
      </c>
      <c r="C3527" s="185">
        <f t="shared" si="111"/>
        <v>6299.8920699999999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összekötő profil H30 3m matt fekete</v>
      </c>
      <c r="C3528" s="185">
        <f t="shared" si="111"/>
        <v>11267.692220000001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távtartó profil 04 3m matt fekete</v>
      </c>
      <c r="C3529" s="185">
        <f t="shared" si="111"/>
        <v>1792.81519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felső vezető profil 2,35m matt fekete</v>
      </c>
      <c r="C3530" s="185">
        <f t="shared" si="111"/>
        <v>5588.7752499999997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felső vezető profil 3m matt fekete</v>
      </c>
      <c r="C3531" s="185">
        <f t="shared" si="111"/>
        <v>7131.1972999999998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Pax felső vezető profil 3m matt fekete</v>
      </c>
      <c r="C3532" s="185">
        <f t="shared" si="111"/>
        <v>11297.73933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Gemini felső vezetés 6m matt fekete</v>
      </c>
      <c r="C3533" s="185">
        <f t="shared" si="111"/>
        <v>24999.252980000001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Elegant II alsó vezetés 6m matt fekete</v>
      </c>
      <c r="C3534" s="185">
        <f t="shared" si="111"/>
        <v>14592.91346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takaró profil Elegant II 1,7m matt fekete</v>
      </c>
      <c r="C3535" s="185">
        <f t="shared" si="111"/>
        <v>1282.0129099999999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takaró profil Elegant II 6m matt fekete</v>
      </c>
      <c r="C3536" s="185">
        <f t="shared" si="111"/>
        <v>4527.1084300000002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összekötő profil H10 3m matt fekete</v>
      </c>
      <c r="C3537" s="185">
        <f t="shared" si="111"/>
        <v>6089.5615900000003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Pax fogantyú profil 2,7m mat fekete</v>
      </c>
      <c r="C3538" s="185">
        <f t="shared" si="111"/>
        <v>10356.261270000001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Pax fogantyú profil 3m mat fekete</v>
      </c>
      <c r="C3539" s="185" t="e">
        <f t="shared" si="111"/>
        <v>#N/A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rödzítőlécek 18mm 2,70m olajzöld új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Kék top line 6m olíva új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alsó kötél 6m olíva új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felső vezető profil Simple/Blue 3m (lamino 18 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alsó takaró profil Simple/Blue 3m (lamino 18 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minták Fogantyúk 2021 - kiegészítő készlet 180245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alsó takaró profil Simple/Blue 2m (18 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 t="e">
        <f t="shared" si="111"/>
        <v>#N/A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 t="e">
        <f t="shared" si="111"/>
        <v>#N/A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 t="e">
        <f t="shared" si="111"/>
        <v>#N/A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 t="e">
        <f t="shared" si="111"/>
        <v>#N/A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vasalat szett két ajtóra</v>
      </c>
      <c r="C3551" s="185" t="e">
        <f t="shared" si="111"/>
        <v>#N/A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fogantyú profil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  Gemini felső vezetés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 Gemini felső vezetés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 Gemini felső vezetés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01439 Gemini felső vezetés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szögletvas Mini 17x11mm 1,7m oliva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 00094 -A szögletvas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00703-A összekötő profil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 00029"U" profil rétegelt lemezhez 18mm 3m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szögletvas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 00071 szögletvas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00212 -A összekötő profil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 Elegant II alsó vezetés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 Elegant II alsó vezetés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 Elegant II alsó vezetés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01390 Gemini felső vezetés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 04529-A Alfa II fogantyú profil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 takaró profil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 Elegant II alsó vezetés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 04298-A takaró profil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 04299-A takaró profil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 04301-A  takaró profil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 04492-M Blue-V alsó vezetés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SEVROLL04278 Elegant II alsó vezetés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fogantyú profil 100mm matt fekete</v>
      </c>
      <c r="C3576" s="185">
        <f t="shared" si="111"/>
        <v>137.10875999999999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fogantyú profil 100mmm matt fehér</v>
      </c>
      <c r="C3577" s="185">
        <f t="shared" si="111"/>
        <v>135.30548999999999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fogantyú profil 100mm fényes fekete</v>
      </c>
      <c r="C3578" s="185">
        <f t="shared" si="111"/>
        <v>161.44137000000001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fogantyú profil 100mm ezüst</v>
      </c>
      <c r="C3579" s="185">
        <f t="shared" si="111"/>
        <v>103.94232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fogantyú profil 100mm oliva</v>
      </c>
      <c r="C3580" s="185">
        <f t="shared" si="111"/>
        <v>198.83131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 t="e">
        <f t="shared" si="111"/>
        <v>#N/A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11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 t="e">
        <f t="shared" si="111"/>
        <v>#N/A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 t="e">
        <f t="shared" si="111"/>
        <v>#N/A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szögletvas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takaró profil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szögletvas Mini 17x11mm 4,05m ezüst</v>
      </c>
      <c r="C3587" s="185" t="e">
        <f t="shared" si="111"/>
        <v>#N/A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11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alsó vezetés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takaró profil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fogantyú profil 100mm oliva new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 t="e">
        <f t="shared" si="113"/>
        <v>#N/A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 t="e">
        <f t="shared" si="113"/>
        <v>#N/A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 t="e">
        <f t="shared" si="113"/>
        <v>#N/A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 t="e">
        <f t="shared" si="113"/>
        <v>#N/A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biztonsági fólia 500mm/400m</v>
      </c>
      <c r="C3597" s="185" t="e">
        <f t="shared" si="113"/>
        <v>#N/A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 t="e">
        <f t="shared" si="113"/>
        <v>#N/A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 t="e">
        <f t="shared" si="113"/>
        <v>#N/A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alsó takaró profil Simple/Blue 2m (RL: 18 mm) fekete matt</v>
      </c>
      <c r="C3600" s="185">
        <f t="shared" si="113"/>
        <v>6775.10851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alsó takaró profil Simple/Blue 3m (RL: 18 mm) fekete matt</v>
      </c>
      <c r="C3601" s="185">
        <f t="shared" si="113"/>
        <v>10152.490110000001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felső vezető profil Simple/Blue 2m (RL: 18mm) fekete matt</v>
      </c>
      <c r="C3602" s="185">
        <f t="shared" si="113"/>
        <v>3458.7641899999999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 felső vezető profil Simple/Blue 3m (RL: 18mm) fekete matt</v>
      </c>
      <c r="C3603" s="185">
        <f t="shared" si="113"/>
        <v>5188.1462799999999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összekötő profil Simple/Blue H21 3m (RL:18mm) fekete matt</v>
      </c>
      <c r="C3604" s="185">
        <f t="shared" si="113"/>
        <v>5808.6891100000003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fogantyú profil 18mm 2,70m fekete matt</v>
      </c>
      <c r="C3605" s="185">
        <f t="shared" si="113"/>
        <v>6215.6025399999999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fogantyú profil 18mm 2,70m fekete matt</v>
      </c>
      <c r="C3606" s="185">
        <f t="shared" si="113"/>
        <v>6337.6766500000003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alsó vezetés 2m fekete matt</v>
      </c>
      <c r="C3607" s="185">
        <f t="shared" si="113"/>
        <v>4099.6527800000003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alsó vezetés 3m fekete matt</v>
      </c>
      <c r="C3608" s="185">
        <f t="shared" si="113"/>
        <v>6154.5656900000004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alsó vezetés 6m fekete matt</v>
      </c>
      <c r="C3609" s="185">
        <f t="shared" si="113"/>
        <v>12298.958689999999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felső vezetés 2m fekete matt</v>
      </c>
      <c r="C3610" s="185">
        <f t="shared" si="113"/>
        <v>7670.3183900000004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felső vezetés 6m fekete matt</v>
      </c>
      <c r="C3611" s="185">
        <f t="shared" si="113"/>
        <v>11505.47718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felső vezetés 3m fekete matt</v>
      </c>
      <c r="C3612" s="185">
        <f t="shared" si="113"/>
        <v>23010.95477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210074.95204999999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220787.85143000001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SEVROLL szett - Alfa II foganytú profil 2,7m ezüst + Görgő szett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SEVROLL szett - Focus II foganytú profil 2,7m ezüst + Görgő szett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SEVROLL szett - Alfa II foganytú profil + Vezető sínek + Görgők + Csillapítók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SEVROLL szett - Focus II foganytú profil + Vezető sínek + Görgők + Csillapítók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fogantyú profil 2,7m ezüst</v>
      </c>
      <c r="C3619" s="185">
        <f t="shared" si="113"/>
        <v>8252.9587200000005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fogantyú profil 3m ezüst</v>
      </c>
      <c r="C3620" s="185">
        <f t="shared" si="113"/>
        <v>9164.3896700000005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fogantyú profil 2,7m oliva</v>
      </c>
      <c r="C3621" s="185">
        <f t="shared" si="113"/>
        <v>11457.991169999999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fogantyú profil 2,7m oliva</v>
      </c>
      <c r="C3622" s="185">
        <f t="shared" si="113"/>
        <v>10316.19822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fogókorlát 2,7m ezüst</v>
      </c>
      <c r="C3623" s="185">
        <f t="shared" si="113"/>
        <v>8713.6819799999994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fogantyú profil 2,7m oliva</v>
      </c>
      <c r="C3624" s="185">
        <f t="shared" si="113"/>
        <v>10897.11025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fogókorlát 2,7m ezüst</v>
      </c>
      <c r="C3625" s="185">
        <f t="shared" si="113"/>
        <v>8713.6819799999994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fogókorlát 2,7m oliva</v>
      </c>
      <c r="C3626" s="185">
        <f t="shared" si="113"/>
        <v>10897.11025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fogókorlát 2,7m fekete matt</v>
      </c>
      <c r="C3627" s="185">
        <f t="shared" si="113"/>
        <v>11297.73933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fogantyú profil 2,7m</v>
      </c>
      <c r="C3628" s="185">
        <f t="shared" si="113"/>
        <v>4156.5264699999998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fogantyú profil 2,7m matt fehér</v>
      </c>
      <c r="C3629" s="185">
        <f t="shared" si="113"/>
        <v>8313.0529399999996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fogantyú profil 2,7m matt fekete</v>
      </c>
      <c r="C3630" s="185">
        <f t="shared" si="113"/>
        <v>11728.41548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fogantyú profil 2,7m matt fekete</v>
      </c>
      <c r="C3631" s="185">
        <f t="shared" si="113"/>
        <v>13050.49144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fogantyú profil 2,7m ezüst</v>
      </c>
      <c r="C3632" s="185">
        <f t="shared" si="113"/>
        <v>10035.75794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keret profil 2,7m oliva</v>
      </c>
      <c r="C3633" s="185">
        <f t="shared" si="113"/>
        <v>4086.4163100000001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keret profil 2,7m oliva</v>
      </c>
      <c r="C3634" s="185">
        <f t="shared" si="113"/>
        <v>3585.62997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keret profil 2,7m matt fekete</v>
      </c>
      <c r="C3635" s="185">
        <f t="shared" si="113"/>
        <v>3866.0702500000002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fogantyú profil 2,7m fekete matt</v>
      </c>
      <c r="C3636" s="185">
        <f t="shared" si="113"/>
        <v>7271.4172099999996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fogantyú profil 2,7m arany</v>
      </c>
      <c r="C3637" s="185">
        <f t="shared" si="113"/>
        <v>10506.497170000001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fogantyú profil 3m ezüst</v>
      </c>
      <c r="C3638" s="185">
        <f t="shared" si="113"/>
        <v>10576.60692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fogantyú profil 2,70m oliva</v>
      </c>
      <c r="C3639" s="185">
        <f t="shared" si="113"/>
        <v>3685.7872400000001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Pax XL fogantyú profil 3m matt fehér</v>
      </c>
      <c r="C3640" s="185">
        <f t="shared" si="113"/>
        <v>13050.49144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 Lux III fogantyú profil 3m olívazöld</v>
      </c>
      <c r="C3641" s="185">
        <f t="shared" si="113"/>
        <v>11678.33685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fogantyú profil 3m arany</v>
      </c>
      <c r="C3642" s="185">
        <f t="shared" si="113"/>
        <v>11678.33685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02306  dísz profil S10 3m fekete matt</v>
      </c>
      <c r="C3643" s="185">
        <f t="shared" si="113"/>
        <v>1702.6734799999999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 Universal 18 fogantyú profil 2,7m oliva</v>
      </c>
      <c r="C3644" s="185">
        <f t="shared" si="113"/>
        <v>8092.7068799999997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"U" profil rétegelt lemezhez 18mm 3m grafit</v>
      </c>
      <c r="C3645" s="185">
        <f t="shared" si="113"/>
        <v>2383.7428100000002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szögletvas Mini 17x11mm 1,7m grafit</v>
      </c>
      <c r="C3646" s="185">
        <f t="shared" si="113"/>
        <v>1221.9187199999999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szögletvas Mini 17x11mm 2,35m grafit</v>
      </c>
      <c r="C3647" s="185">
        <f t="shared" si="113"/>
        <v>1692.6579200000001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szögletvas Mini 17x11mm 3m grafit</v>
      </c>
      <c r="C3648" s="185">
        <f t="shared" si="113"/>
        <v>2163.3967400000001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alsó takaró profil 1,7m 10mm grafit</v>
      </c>
      <c r="C3649" s="185">
        <f t="shared" si="113"/>
        <v>7331.51181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alsó takaró profil 2,35m 10mm grafit</v>
      </c>
      <c r="C3650" s="185">
        <f t="shared" si="113"/>
        <v>10125.899240000001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alsó takaró profil 3m 10mm grafit</v>
      </c>
      <c r="C3651" s="185">
        <f t="shared" si="113"/>
        <v>12960.35014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felső vezető profil 1,7m grafit</v>
      </c>
      <c r="C3652" s="185">
        <f t="shared" ref="C3652:C3715" si="115">IF($A$2=1,H3652,IF($A$2=2,I3652,IF($A$2=3,J3652,IF($A$2=4,K3652,IF($A$2&gt;4,O3652,"zadat jazyk")))))</f>
        <v>4036.3376800000001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felső vezető profil 2,35m grafit</v>
      </c>
      <c r="C3653" s="185">
        <f t="shared" si="115"/>
        <v>5588.7752499999997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felső vezető profil 3m grafit</v>
      </c>
      <c r="C3654" s="185">
        <f t="shared" si="115"/>
        <v>7131.1972999999998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összekötő profil H10 3m grafit</v>
      </c>
      <c r="C3655" s="185">
        <f t="shared" si="115"/>
        <v>6089.5615900000003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összekötő profil H18 3m grafit</v>
      </c>
      <c r="C3656" s="185">
        <f t="shared" si="115"/>
        <v>5999.42029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profil 18mm 2,7m grafit</v>
      </c>
      <c r="C3657" s="185">
        <f t="shared" si="115"/>
        <v>6329.9391800000003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fogantyú profil 2,7m grafit</v>
      </c>
      <c r="C3658" s="185">
        <f t="shared" si="115"/>
        <v>8313.0529399999996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alsó vezetés 1,7m grafit</v>
      </c>
      <c r="C3659" s="185">
        <f t="shared" si="115"/>
        <v>4176.5579900000002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alsó vezetés 2,35m grafit</v>
      </c>
      <c r="C3660" s="185">
        <f t="shared" si="115"/>
        <v>5739.01116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alsó vezetés 3m grafit</v>
      </c>
      <c r="C3661" s="185">
        <f t="shared" si="115"/>
        <v>7291.4487600000002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alsó vezetés 4,05m grafit</v>
      </c>
      <c r="C3662" s="185">
        <f t="shared" si="115"/>
        <v>9875.5060699999995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alsó vezetés 6m grafit</v>
      </c>
      <c r="C3663" s="185">
        <f t="shared" si="115"/>
        <v>14592.91346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felső vezetés 1,7m grafit</v>
      </c>
      <c r="C3664" s="185">
        <f t="shared" si="115"/>
        <v>7081.1186600000001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felső vezetés 2,35m grafit</v>
      </c>
      <c r="C3665" s="185">
        <f t="shared" si="115"/>
        <v>9795.3803599999992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felső vezetés 3m grafit</v>
      </c>
      <c r="C3666" s="185">
        <f t="shared" si="115"/>
        <v>12499.626490000001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felső vezetés 4,05m grafit</v>
      </c>
      <c r="C3667" s="185">
        <f t="shared" si="115"/>
        <v>16876.499019999999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felső vezetés 6m grafit</v>
      </c>
      <c r="C3668" s="185">
        <f t="shared" si="115"/>
        <v>24999.252980000001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takaró profil Elegant II 1,7m grafit</v>
      </c>
      <c r="C3669" s="185">
        <f t="shared" si="115"/>
        <v>1282.0129099999999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takaró profil Elegant II 2,35m grafit</v>
      </c>
      <c r="C3670" s="185">
        <f t="shared" si="115"/>
        <v>1772.7836600000001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takaró profil Elegant II 3m grafit</v>
      </c>
      <c r="C3671" s="185">
        <f t="shared" si="115"/>
        <v>2263.5540099999998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takaró profil Elegant II 4,05m grafit</v>
      </c>
      <c r="C3672" s="185">
        <f t="shared" si="115"/>
        <v>3054.79655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takaró profil Elegant II 6m grafit</v>
      </c>
      <c r="C3673" s="185">
        <f t="shared" si="115"/>
        <v>4527.1084300000002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fogantyú profil 2,7m oliva</v>
      </c>
      <c r="C3674" s="185">
        <f t="shared" si="115"/>
        <v>10316.19822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fogantyú profil 2,7m oliva</v>
      </c>
      <c r="C3675" s="185">
        <f t="shared" si="115"/>
        <v>11457.991169999999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fogantyú profil 2,7m ezüst</v>
      </c>
      <c r="C3676" s="185">
        <f t="shared" si="115"/>
        <v>8252.9587200000005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fogantyú profil 3m ezüst</v>
      </c>
      <c r="C3677" s="185">
        <f t="shared" si="115"/>
        <v>9164.3896700000005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fogantyú profil 2,7m oliva</v>
      </c>
      <c r="C3678" s="185">
        <f t="shared" si="115"/>
        <v>10897.11025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fogókorlát 2,7m ezüst</v>
      </c>
      <c r="C3679" s="185">
        <f t="shared" si="115"/>
        <v>8713.6819799999994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fogókorlát 2,7m oliva</v>
      </c>
      <c r="C3680" s="185">
        <f t="shared" si="115"/>
        <v>10897.11025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fogókorlát 2,7m fekete matt</v>
      </c>
      <c r="C3681" s="185">
        <f t="shared" si="115"/>
        <v>11297.73933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fogókorlát 2,7m ezüst</v>
      </c>
      <c r="C3682" s="185">
        <f t="shared" si="115"/>
        <v>8713.6819799999994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alsó takaró profil 1,7m 18mm oliva</v>
      </c>
      <c r="C3683" s="185">
        <f t="shared" si="115"/>
        <v>9845.4589899999992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alsó takaró profil 2,35m 18mm oliva</v>
      </c>
      <c r="C3684" s="185">
        <f t="shared" si="115"/>
        <v>13601.356390000001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alsó takaró profil 3m 18mm oliva</v>
      </c>
      <c r="C3685" s="185">
        <f t="shared" si="115"/>
        <v>17367.269779999999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alsó takaró profil 1,7m 18mm matt fekete</v>
      </c>
      <c r="C3686" s="185">
        <f t="shared" si="115"/>
        <v>10576.60692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alsó takaró profil 2,35m 18mm matt fekete</v>
      </c>
      <c r="C3687" s="185">
        <f t="shared" si="115"/>
        <v>14612.945009999999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alsó takaró profil 3m 18mm matt fekete</v>
      </c>
      <c r="C3688" s="185">
        <f t="shared" si="115"/>
        <v>18659.29824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alsó takaró profil 1,7m 18mm ezüst</v>
      </c>
      <c r="C3689" s="185">
        <f t="shared" si="115"/>
        <v>8132.7699300000004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alsó takaró profil 2,35m 18mm ezüst</v>
      </c>
      <c r="C3690" s="185">
        <f t="shared" si="115"/>
        <v>11237.645109999999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alsó takaró profil 3m 18mm ezüst</v>
      </c>
      <c r="C3691" s="185">
        <f t="shared" si="115"/>
        <v>14352.53587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felső vezető profil 1,7m oliva</v>
      </c>
      <c r="C3692" s="185">
        <f t="shared" si="115"/>
        <v>6800.67839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vezető profil 2,35m oliva</v>
      </c>
      <c r="C3693" s="185">
        <f t="shared" si="115"/>
        <v>9384.7357300000003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vezető profil 3m oliva</v>
      </c>
      <c r="C3694" s="185">
        <f t="shared" si="115"/>
        <v>11988.82459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felső vezető profil 1,7m matt fekete</v>
      </c>
      <c r="C3695" s="185">
        <f t="shared" si="115"/>
        <v>6910.85124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vezető profil 2,35m matt fekete</v>
      </c>
      <c r="C3696" s="185">
        <f t="shared" si="115"/>
        <v>9555.0031500000005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vezető profil 3m matt fekete</v>
      </c>
      <c r="C3697" s="185">
        <f t="shared" si="115"/>
        <v>12199.154689999999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vezető profil 1,7m ezüst</v>
      </c>
      <c r="C3698" s="185">
        <f t="shared" si="115"/>
        <v>5618.8223600000001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vezető profil 2,35m ezüst</v>
      </c>
      <c r="C3699" s="185">
        <f t="shared" si="115"/>
        <v>7752.1724100000001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Maxim vezető profil 3m ezüst</v>
      </c>
      <c r="C3700" s="185">
        <f t="shared" si="115"/>
        <v>9895.5376199999992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összekötő profil H18 3m oliva</v>
      </c>
      <c r="C3701" s="185">
        <f t="shared" si="115"/>
        <v>5839.16842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összekötő profil H18 3m matt fekete</v>
      </c>
      <c r="C3702" s="185">
        <f t="shared" si="115"/>
        <v>6760.6153400000003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összekötő profil H18 3m ezüst</v>
      </c>
      <c r="C3703" s="185">
        <f t="shared" si="115"/>
        <v>4857.6273199999996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összekötő profil H25 3m oliva</v>
      </c>
      <c r="C3704" s="185">
        <f t="shared" si="115"/>
        <v>10927.157359999999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összekötő profil H25 3m matt fekete</v>
      </c>
      <c r="C3705" s="185">
        <f t="shared" si="115"/>
        <v>11107.440759999999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összekötő profil H25 3m ezüst</v>
      </c>
      <c r="C3706" s="185">
        <f t="shared" si="115"/>
        <v>9024.1693500000001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board felső görgő 18mm - 2db</v>
      </c>
      <c r="C3707" s="185">
        <f t="shared" si="115"/>
        <v>1896.5072500000001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felső görgő 18mm - 2db</v>
      </c>
      <c r="C3708" s="185">
        <f t="shared" si="115"/>
        <v>1896.5072500000001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felső görgő 18mm - 2db</v>
      </c>
      <c r="C3709" s="185">
        <f t="shared" si="115"/>
        <v>2265.5571500000001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Fogantyúk 2023 - minta</v>
      </c>
      <c r="C3710" s="185">
        <f t="shared" si="115"/>
        <v>9660.4210899999998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felső vezető profil 1,7m matt fehér</v>
      </c>
      <c r="C3711" s="185">
        <f t="shared" si="115"/>
        <v>4036.3376800000001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04065 felső vezető profil 2,35m matt fehér</v>
      </c>
      <c r="C3712" s="185">
        <f t="shared" si="115"/>
        <v>5588.7752499999997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felső vezető profil 3m matt fehér</v>
      </c>
      <c r="C3713" s="185">
        <f t="shared" si="115"/>
        <v>7131.1972999999998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alsó takaró profil 1,7m 10mm matt fehér</v>
      </c>
      <c r="C3714" s="185">
        <f t="shared" si="115"/>
        <v>7331.51181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alsó takaró profil 2,35m 10mm matt fehér</v>
      </c>
      <c r="C3715" s="185">
        <f t="shared" si="115"/>
        <v>10125.899240000001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alsó takaró profil 3m 10mm matt fehér</v>
      </c>
      <c r="C3716" s="185">
        <f t="shared" ref="C3716:C3779" si="117">IF($A$2=1,H3716,IF($A$2=2,I3716,IF($A$2=3,J3716,IF($A$2=4,K3716,IF($A$2&gt;4,O3716,"zadat jazyk")))))</f>
        <v>12960.35014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 összekötő profil H10 3m matt fehér</v>
      </c>
      <c r="C3717" s="185">
        <f t="shared" si="117"/>
        <v>6089.5615900000003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fogantyú profil 2,7m fekete szerkezeti</v>
      </c>
      <c r="C3718" s="185">
        <f t="shared" si="117"/>
        <v>8313.0529399999996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alsó takaró profil 1,7m 10mm  fekete szerkezeti</v>
      </c>
      <c r="C3719" s="185">
        <f t="shared" si="117"/>
        <v>7331.51181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10alsó takaró profil 2,35m 10mm  fekete szerkezeti</v>
      </c>
      <c r="C3720" s="185">
        <f t="shared" si="117"/>
        <v>10125.899240000001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alsó takaró profil 3m 10mm fekete szerkezeti</v>
      </c>
      <c r="C3721" s="185">
        <f t="shared" si="117"/>
        <v>12960.35014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 felső vezető profil 1,7m  fekete szerkezeti</v>
      </c>
      <c r="C3722" s="185">
        <f t="shared" si="117"/>
        <v>4036.3376800000001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felső vezető profil 2,35m fekete szerkezeti</v>
      </c>
      <c r="C3723" s="185">
        <f t="shared" si="117"/>
        <v>5588.7752499999997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 03605 felső vezető profil 3m fekete szerkezeti</v>
      </c>
      <c r="C3724" s="185">
        <f t="shared" si="117"/>
        <v>7131.1972999999998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összekötő profil H10 3m  fekete szerkezeti</v>
      </c>
      <c r="C3725" s="185">
        <f t="shared" si="117"/>
        <v>6089.5615900000003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alsó vezetés 1,7m  fekete szerkezeti</v>
      </c>
      <c r="C3726" s="185">
        <f t="shared" si="117"/>
        <v>4176.5579900000002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 Elegant II alsó vezetés 2,35m fekete szerkezeti</v>
      </c>
      <c r="C3727" s="185">
        <f t="shared" si="117"/>
        <v>5739.01116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alsó vezetés 3m fekete szerkezeti</v>
      </c>
      <c r="C3728" s="185">
        <f t="shared" si="117"/>
        <v>7291.4487600000002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alsó vezetés 4,05m fekete szerkezeti</v>
      </c>
      <c r="C3729" s="185">
        <f t="shared" si="117"/>
        <v>9875.5060699999995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alsó vezetés 6m fekete szerkezeti</v>
      </c>
      <c r="C3730" s="185">
        <f t="shared" si="117"/>
        <v>14592.91346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felső vezetés 1,7m fekete szerkezeti</v>
      </c>
      <c r="C3731" s="185">
        <f t="shared" si="117"/>
        <v>7081.1186600000001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felső vezetés 2,35m  fekete szerkezeti</v>
      </c>
      <c r="C3732" s="185">
        <f t="shared" si="117"/>
        <v>9795.3803599999992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felső vezetés 3m fekete szerkezeti</v>
      </c>
      <c r="C3733" s="185">
        <f t="shared" si="117"/>
        <v>12499.626490000001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 Gemini felső vezetés 4,05m fekete szerkezeti</v>
      </c>
      <c r="C3734" s="185">
        <f t="shared" si="117"/>
        <v>16876.499019999999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felső vezetés 6m fekete szerkezeti</v>
      </c>
      <c r="C3735" s="185">
        <f t="shared" si="117"/>
        <v>24999.252980000001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takaró profil Elegant II 1,7m  fekete szerkezeti</v>
      </c>
      <c r="C3736" s="185">
        <f t="shared" si="117"/>
        <v>1282.0129099999999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takaró profil Elegant II 2,35m  fekete szerkezeti</v>
      </c>
      <c r="C3737" s="185">
        <f t="shared" si="117"/>
        <v>1772.7836600000001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takaró profil Elegant II 3m fekete szerkezeti</v>
      </c>
      <c r="C3738" s="185">
        <f t="shared" si="117"/>
        <v>2263.5540099999998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takaró profil Elegant II 4,05m fekete szerkezeti</v>
      </c>
      <c r="C3739" s="185">
        <f t="shared" si="117"/>
        <v>3054.79655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takaró profil Elegant II 6m matt fekete szerkezeti</v>
      </c>
      <c r="C3740" s="185">
        <f t="shared" si="117"/>
        <v>4527.1084300000002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fogantyú profil 2,7m fekete szerkezeti</v>
      </c>
      <c r="C3741" s="185">
        <f t="shared" si="117"/>
        <v>9454.8458900000005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alsó takaró profil 1,7m 10mm  fekete szerkezeti</v>
      </c>
      <c r="C3742" s="185">
        <f t="shared" si="117"/>
        <v>7331.51181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10alsó takaró profil 2,35m 10mm  fekete szerkezeti</v>
      </c>
      <c r="C3743" s="185">
        <f t="shared" si="117"/>
        <v>10125.899240000001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alsó takaró profil 3m 10mm fekete szerkezeti</v>
      </c>
      <c r="C3744" s="185">
        <f t="shared" si="117"/>
        <v>12960.35014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 felső vezető profil 1,7m  fekete szerkezeti</v>
      </c>
      <c r="C3745" s="185">
        <f t="shared" si="117"/>
        <v>4036.3376800000001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felső vezető profil 2,35m fekete szerkezeti</v>
      </c>
      <c r="C3746" s="185">
        <f t="shared" si="117"/>
        <v>5588.7752499999997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 03605 felső vezető profil 3m fekete szerkezeti</v>
      </c>
      <c r="C3747" s="185">
        <f t="shared" si="117"/>
        <v>7131.1972999999998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összekötő profil H10 3m  fekete szerkezeti</v>
      </c>
      <c r="C3748" s="185">
        <f t="shared" si="117"/>
        <v>6089.5615900000003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alsó vezetés 1,7m  fekete szerkezeti</v>
      </c>
      <c r="C3749" s="185">
        <f t="shared" si="117"/>
        <v>4176.5579900000002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 Elegant II alsó vezetés 2,35m fekete szerkezeti</v>
      </c>
      <c r="C3750" s="185">
        <f t="shared" si="117"/>
        <v>5739.01116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alsó vezetés 3m fekete szerkezeti</v>
      </c>
      <c r="C3751" s="185">
        <f t="shared" si="117"/>
        <v>7291.4487600000002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alsó vezetés 4,05m fekete szerkezeti</v>
      </c>
      <c r="C3752" s="185">
        <f t="shared" si="117"/>
        <v>9875.5060699999995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alsó vezetés 6m fekete szerkezeti</v>
      </c>
      <c r="C3753" s="185">
        <f t="shared" si="117"/>
        <v>14592.91346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felső vezetés 1,7m fekete szerkezeti</v>
      </c>
      <c r="C3754" s="185">
        <f t="shared" si="117"/>
        <v>7081.1186600000001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felső vezetés 2,35m  fekete szerkezeti</v>
      </c>
      <c r="C3755" s="185">
        <f t="shared" si="117"/>
        <v>9795.3803599999992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felső vezetés 3m fekete szerkezeti</v>
      </c>
      <c r="C3756" s="185">
        <f t="shared" si="117"/>
        <v>12499.626490000001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 Gemini felső vezetés 4,05m fekete szerkezeti</v>
      </c>
      <c r="C3757" s="185">
        <f t="shared" si="117"/>
        <v>16876.499019999999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felső vezetés 6m fekete szerkezeti</v>
      </c>
      <c r="C3758" s="185">
        <f t="shared" si="117"/>
        <v>24999.252980000001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takaró profil Elegant II 1,7m  fekete szerkezeti</v>
      </c>
      <c r="C3759" s="185">
        <f t="shared" si="117"/>
        <v>1282.0129099999999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takaró profil Elegant II 2,35m  fekete szerkezeti</v>
      </c>
      <c r="C3760" s="185">
        <f t="shared" si="117"/>
        <v>1772.7836600000001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takaró profil Elegant II 3m fekete szerkezeti</v>
      </c>
      <c r="C3761" s="185">
        <f t="shared" si="117"/>
        <v>2263.5540099999998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takaró profil Elegant II 4,05m fekete szerkezeti</v>
      </c>
      <c r="C3762" s="185">
        <f t="shared" si="117"/>
        <v>3054.79655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takaró profil Elegant II 6m matt fekete szerkezeti</v>
      </c>
      <c r="C3763" s="185">
        <f t="shared" si="117"/>
        <v>4527.1084300000002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profil 16/18mm 2,7m fekete szerkezeti</v>
      </c>
      <c r="C3764" s="185">
        <f t="shared" si="117"/>
        <v>6329.9391800000003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szögletvas Mini 17x11mm 1,7m fekete szerkezeti</v>
      </c>
      <c r="C3765" s="185">
        <f t="shared" si="117"/>
        <v>1221.9187199999999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szögletvas 17x11mm 2,35m fekete szerkezeti</v>
      </c>
      <c r="C3766" s="185">
        <f t="shared" si="117"/>
        <v>1692.6579200000001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szögletvas Mini 17x11mm 3m fekete szerkezeti</v>
      </c>
      <c r="C3767" s="185">
        <f t="shared" si="117"/>
        <v>2163.3967400000001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összekötő profil H18 3m fekete szerkezeti</v>
      </c>
      <c r="C3768" s="185">
        <f t="shared" si="117"/>
        <v>5999.42029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alsó vezetés 1,7m  fekete szerkezeti</v>
      </c>
      <c r="C3769" s="185">
        <f t="shared" si="117"/>
        <v>4176.5579900000002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 Elegant II alsó vezetés 2,35m fekete szerkezeti</v>
      </c>
      <c r="C3770" s="185">
        <f t="shared" si="117"/>
        <v>5739.01116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alsó vezetés 3m fekete szerkezeti</v>
      </c>
      <c r="C3771" s="185">
        <f t="shared" si="117"/>
        <v>7291.4487600000002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alsó vezetés 4,05m fekete szerkezeti</v>
      </c>
      <c r="C3772" s="185">
        <f t="shared" si="117"/>
        <v>9875.5060699999995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alsó vezetés 6m fekete szerkezeti</v>
      </c>
      <c r="C3773" s="185">
        <f t="shared" si="117"/>
        <v>14592.91346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felső vezetés 1,7m fekete szerkezeti</v>
      </c>
      <c r="C3774" s="185">
        <f t="shared" si="117"/>
        <v>7081.1186600000001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felső vezetés 2,35m  fekete szerkezeti</v>
      </c>
      <c r="C3775" s="185">
        <f t="shared" si="117"/>
        <v>9795.3803599999992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felső vezetés 3m fekete szerkezeti</v>
      </c>
      <c r="C3776" s="185">
        <f t="shared" si="117"/>
        <v>12499.626490000001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 Gemini felső vezetés 4,05m fekete szerkezeti</v>
      </c>
      <c r="C3777" s="185">
        <f t="shared" si="117"/>
        <v>16876.499019999999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felső vezetés 6m fekete szerkezeti</v>
      </c>
      <c r="C3778" s="185">
        <f t="shared" si="117"/>
        <v>24999.252980000001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takaró profil Elegant II 1,7m  fekete szerkezeti</v>
      </c>
      <c r="C3779" s="185">
        <f t="shared" si="117"/>
        <v>1282.0129099999999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takaró profil Elegant II 2,35m  fekete szerkezeti</v>
      </c>
      <c r="C3780" s="185">
        <f>IF($A$2=1,H3780,IF($A$2=2,I3780,IF($A$2=3,J3780,IF($A$2=4,K3780,IF($A$2&gt;4,O3780,"zadat jazyk")))))</f>
        <v>1772.7836600000001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takaró profil Elegant II 3m fekete szerkezeti</v>
      </c>
      <c r="C3781" s="185">
        <f>IF($A$2=1,H3781,IF($A$2=2,I3781,IF($A$2=3,J3781,IF($A$2=4,K3781,IF($A$2&gt;4,O3781,"zadat jazyk")))))</f>
        <v>2263.5540099999998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takaró profil Elegant II 4,05m fekete szerkezeti</v>
      </c>
      <c r="C3782" s="185">
        <f>IF($A$2=1,H3782,IF($A$2=2,I3782,IF($A$2=3,J3782,IF($A$2=4,K3782,IF($A$2&gt;4,O3782,"zadat jazyk")))))</f>
        <v>3054.79655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takaró profil Elegant II 6m matt fekete szerkezeti</v>
      </c>
      <c r="C3783" s="185">
        <f>IF($A$2=1,H3783,IF($A$2=2,I3783,IF($A$2=3,J3783,IF($A$2=4,K3783,IF($A$2&gt;4,O3783,"zadat jazyk")))))</f>
        <v>4527.1084300000002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felső vezetés 6m arany/sárgaréz</v>
      </c>
      <c r="C3784" s="185">
        <f t="shared" ref="C3784:C3818" si="119">IF($A$2=1,H3784,IF($A$2=2,I3784,IF($A$2=3,J3784,IF($A$2=4,K3784,IF($A$2&gt;4,O3784,"zadat jazyk")))))</f>
        <v>24999.252980000001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fog.profil 16/18mm 2,70m arany/sárgaréz</v>
      </c>
      <c r="C3785" s="185">
        <f t="shared" si="119"/>
        <v>6129.62464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16mm fogantyú profil 2,7m arany/sárgaréz</v>
      </c>
      <c r="C3786" s="185">
        <f t="shared" si="119"/>
        <v>4086.4163100000001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18mm fogantyú profil 2,7m arany/sárgaréz</v>
      </c>
      <c r="C3787" s="185">
        <f t="shared" si="119"/>
        <v>4086.4163100000001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Maszk Elegant II 1,7m arany/sárgaréz</v>
      </c>
      <c r="C3788" s="185">
        <f t="shared" si="119"/>
        <v>1231.93427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takaró profil Elegant II 2,35m arany/sárgaréz</v>
      </c>
      <c r="C3789" s="185">
        <f t="shared" si="119"/>
        <v>1702.6734799999999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takaró profil Elegant II 3m arany/sárgaréz</v>
      </c>
      <c r="C3790" s="185">
        <f t="shared" si="119"/>
        <v>2183.4282699999999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takaró profil Elegant II 4,05m arany/sárgaréz</v>
      </c>
      <c r="C3791" s="185">
        <f t="shared" si="119"/>
        <v>2944.62372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Maszk Elegant II 6m arany/sárgaréz</v>
      </c>
      <c r="C3792" s="185">
        <f t="shared" si="119"/>
        <v>4356.8409799999999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alsó vezetés 6m arany/sárgaréz</v>
      </c>
      <c r="C3793" s="185">
        <f t="shared" si="119"/>
        <v>14122.17425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alsó vezetés 1,7m arany/sárgaréz</v>
      </c>
      <c r="C3796" s="185">
        <f t="shared" si="119"/>
        <v>4006.2905700000001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alsó vezetés 2,35m arany/sárgaréz</v>
      </c>
      <c r="C3797" s="185">
        <f t="shared" si="119"/>
        <v>5528.6810599999999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alsó vezetés 3m arany/sárgaréz</v>
      </c>
      <c r="C3798" s="185">
        <f t="shared" si="119"/>
        <v>7061.0871100000004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alsó vezetés 4,05m arany/sárgaréz</v>
      </c>
      <c r="C3799" s="185">
        <f t="shared" si="119"/>
        <v>9534.97163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összekötő profil H18 3m arany/sárgaréz</v>
      </c>
      <c r="C3800" s="185">
        <f t="shared" si="119"/>
        <v>5769.0582599999998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felső vezetés 1,7m arany/sárgaréz</v>
      </c>
      <c r="C3801" s="185">
        <f t="shared" si="119"/>
        <v>6810.6939700000003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felső vezetés 2,35m arany/sárgaréz</v>
      </c>
      <c r="C3802" s="185">
        <f t="shared" si="119"/>
        <v>9414.7828399999999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felső vezetés 3m arany/sárgaréz</v>
      </c>
      <c r="C3803" s="185">
        <f t="shared" si="119"/>
        <v>12499.626490000001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felső vezetés 4,05m arany/sárgaréz</v>
      </c>
      <c r="C3804" s="185">
        <f t="shared" si="119"/>
        <v>16876.499019999999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szögletvas 17x11mm 1,7m arany/sárgaréz</v>
      </c>
      <c r="C3805" s="185">
        <f t="shared" si="119"/>
        <v>1181.85564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szögletvas Mini 17x11mm 2,35m arany/sárgaréz</v>
      </c>
      <c r="C3806" s="185">
        <f t="shared" si="119"/>
        <v>1632.56332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szögletvas 17x11mm 3m arany/sárgaréz</v>
      </c>
      <c r="C3807" s="185">
        <f t="shared" si="119"/>
        <v>2073.2554399999999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felső vezető profile 1,7m arany/sárgaréz</v>
      </c>
      <c r="C3808" s="185">
        <f t="shared" si="119"/>
        <v>3705.8187600000001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felső vezető profil 2,35m arany/sárgaréz</v>
      </c>
      <c r="C3809" s="185">
        <f t="shared" si="119"/>
        <v>5138.0675700000002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felső vezető profil 3m arany/sárgaréz</v>
      </c>
      <c r="C3810" s="185">
        <f t="shared" si="119"/>
        <v>6560.3008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alsó takaró profil 1,7m 10mm arany/sárgaréz</v>
      </c>
      <c r="C3811" s="185">
        <f t="shared" si="119"/>
        <v>6900.83565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alsó takaró profil 2,35m 10mm arany/sárgaréz</v>
      </c>
      <c r="C3812" s="185">
        <f t="shared" si="119"/>
        <v>9514.9400999999998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alsó takaró profil 3m 10mm arany/sárgaréz</v>
      </c>
      <c r="C3813" s="185">
        <f t="shared" si="119"/>
        <v>12179.123159999999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összekötő profil H10 3m arany/sárgaréz</v>
      </c>
      <c r="C3814" s="185">
        <f t="shared" si="119"/>
        <v>5859.1999500000002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"U" profil rétegelt lemezhez 18mm 3m arany/sárgaréz</v>
      </c>
      <c r="C3815" s="185">
        <f t="shared" si="119"/>
        <v>2293.6015000000002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fogantyú profil 2,7m arany/sárgaréz</v>
      </c>
      <c r="C3816" s="185">
        <f t="shared" si="119"/>
        <v>8002.5655800000004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fogantyú profil 2,7m arany/sárgaréz</v>
      </c>
      <c r="C3817" s="185">
        <f t="shared" si="119"/>
        <v>9094.2795100000003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fogantyú profil 2,7m arany/sárgaréz</v>
      </c>
      <c r="C3818" s="185">
        <f t="shared" si="119"/>
        <v>9054.2168399999991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Alsó profil</v>
      </c>
      <c r="B29" s="15" t="str">
        <f>IFERROR((VLOOKUP(N5,data!C4:D108,2,0)),"N/A")</f>
        <v>N/A</v>
      </c>
      <c r="C29" s="23" t="str">
        <f>IF(B29=data!D64,texty!A239,+VLOOKUP(B29,cennik!A:G,2,FALSE))</f>
        <v>ebben a színben és méretben az adott profilt nem gyártjuk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Takaró profil</v>
      </c>
      <c r="B30" s="15" t="str">
        <f>IFERROR((VLOOKUP(N5,data!C115:D209,2,0)),"N/A")</f>
        <v>N/A</v>
      </c>
      <c r="C30" s="23" t="str">
        <f>IF(B30=data!D64,texty!A239,+VLOOKUP(B30,cennik!A:G,2,FALSE))</f>
        <v>ebben a színben és méretben az adott profilt nem gyártjuk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2204.04898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támfalas kefe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A keret fölső profilja (sín)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A keret vízszintes profilja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A keret vízszintes profilja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Összekötő profil H10-3méter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Összekötő profil H30-3méter</v>
      </c>
      <c r="B53" s="15" t="str">
        <f>IFERROR(VLOOKUP(P7,data!C508:D516,2,0),"N/A")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90.9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6243.0970299999999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317.79295000000002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1">
        <v>129677</v>
      </c>
      <c r="C65" s="472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data!J5</f>
        <v>arany/sárgaréz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data!J6</f>
        <v>oliva</v>
      </c>
      <c r="M70" s="19"/>
    </row>
    <row r="71" spans="1:14" ht="12.75" customHeight="1" x14ac:dyDescent="0.25">
      <c r="A71" s="680" t="str">
        <f>IF(N71=1,texty!A215,IF(K71&gt;0,texty!A214,""))</f>
        <v>egyes tételek nem a kiválasztott hosszúságban készülnek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L71" s="4" t="str">
        <f>data!J7</f>
        <v>kefélt oliva</v>
      </c>
      <c r="N71" s="4">
        <f>IF(ISERROR(K71),1,0)</f>
        <v>1</v>
      </c>
    </row>
    <row r="72" spans="1:14" ht="12.75" hidden="1" customHeight="1" x14ac:dyDescent="0.25">
      <c r="L72" s="4" t="str">
        <f>data!J8</f>
        <v>szálcsi.oliva sö.</v>
      </c>
    </row>
    <row r="73" spans="1:14" ht="12.75" hidden="1" customHeight="1" x14ac:dyDescent="0.25">
      <c r="L73" s="4" t="str">
        <f>data!J9</f>
        <v>szálcsi.fekete</v>
      </c>
    </row>
    <row r="74" spans="1:14" ht="12.75" hidden="1" customHeight="1" x14ac:dyDescent="0.25">
      <c r="L74" s="4" t="str">
        <f>data!J15</f>
        <v>fehér fényes</v>
      </c>
    </row>
    <row r="75" spans="1:14" ht="12.75" hidden="1" customHeight="1" x14ac:dyDescent="0.25">
      <c r="L75" s="4" t="str">
        <f>data!J16</f>
        <v>fényes fekete</v>
      </c>
    </row>
    <row r="76" spans="1:14" ht="12.75" hidden="1" customHeight="1" x14ac:dyDescent="0.25">
      <c r="L76" s="4" t="str">
        <f>data!J17</f>
        <v>matt feket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matt fehér</v>
      </c>
    </row>
    <row r="79" spans="1:14" ht="12.75" hidden="1" customHeight="1" x14ac:dyDescent="0.25">
      <c r="L79" s="4" t="str">
        <f>data!J22</f>
        <v>fekete szerkezeti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9" t="str">
        <f>texty!A45</f>
        <v>töltsék ki ezt az 5 sort !!! Adatok mm-ben</v>
      </c>
      <c r="C5" s="699"/>
      <c r="D5" s="699"/>
      <c r="E5" s="699"/>
      <c r="F5" s="699"/>
      <c r="G5" s="695"/>
      <c r="H5" s="695"/>
      <c r="I5" s="69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3" t="str">
        <f>IF(SUM(D47:D48)&gt;0,texty!A245,"")</f>
        <v/>
      </c>
      <c r="B14" s="683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6" t="s">
        <v>974</v>
      </c>
      <c r="L19" s="5"/>
    </row>
    <row r="20" spans="1:22" ht="24" customHeight="1" x14ac:dyDescent="0.25">
      <c r="A20" s="6"/>
      <c r="B20" s="376" t="str">
        <f>texty!A242</f>
        <v>hézak 4 mm</v>
      </c>
      <c r="C20" s="7"/>
      <c r="E20" s="7"/>
      <c r="F20" s="7"/>
      <c r="G20" s="5"/>
      <c r="H20" s="5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2040.0269000000001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IF(F4=M67,328321,229441)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Fogantyú profil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Összekötő profil H30-3méter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tolóajtó zár</v>
      </c>
      <c r="B54" s="15">
        <v>363019</v>
      </c>
      <c r="C54" s="23" t="str">
        <f>+VLOOKUP(B54,cennik!A:G,2,FALSE)</f>
        <v>SEVROLL tolóajtó zár Karat és Prosper fogantyú profilhoz</v>
      </c>
      <c r="D54" s="354"/>
      <c r="E54" s="86">
        <f>+VLOOKUP(B54,cennik!A:G,3,FALSE)</f>
        <v>14382.7009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>Rendelésre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Összekötő csavar</v>
      </c>
      <c r="B55" s="14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61.50817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További tartozékok tolóajtó rendszerekhez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Ennek a rendszernek műszaki rajza</v>
      </c>
      <c r="B64" s="443">
        <v>129677</v>
      </c>
      <c r="C64" s="474" t="str">
        <f>VLOOKUP(B64,cennik!A:C,2,0)</f>
        <v>SEVROLL 20173 szerelő eszköz 10 mm-es rétegelt lemezre kicsi</v>
      </c>
      <c r="D64" s="41"/>
      <c r="E64" s="86">
        <f>+VLOOKUP(B64,cennik!A:G,3,FALSE)</f>
        <v>4493.0024999999996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Ft</v>
      </c>
      <c r="J67" s="166"/>
      <c r="K67" s="166"/>
      <c r="L67" s="4" t="str">
        <f>texty!A128</f>
        <v>ezüst</v>
      </c>
      <c r="M67" s="19" t="s">
        <v>968</v>
      </c>
    </row>
    <row r="68" spans="1:14" ht="12.75" customHeight="1" x14ac:dyDescent="0.25">
      <c r="A68" s="70" t="str">
        <f>System10!A67</f>
        <v>Az Ön megjegyzése:</v>
      </c>
      <c r="B68" s="700"/>
      <c r="C68" s="701"/>
      <c r="D68" s="701"/>
      <c r="E68" s="701"/>
      <c r="F68" s="701"/>
      <c r="G68" s="702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6" t="str">
        <f>profil!U15</f>
        <v/>
      </c>
      <c r="B69" s="697"/>
      <c r="C69" s="697"/>
      <c r="D69" s="697"/>
      <c r="E69" s="697"/>
      <c r="F69" s="697"/>
      <c r="G69" s="697"/>
      <c r="H69" s="697"/>
    </row>
    <row r="70" spans="1:14" ht="12.75" customHeight="1" x14ac:dyDescent="0.25">
      <c r="A70" s="698" t="str">
        <f>IF(N70=1,texty!A215,IF(K70&gt;0,texty!A214,""))</f>
        <v>egyes tételek nem a kiválasztott hosszúságban készülnek</v>
      </c>
      <c r="B70" s="698"/>
      <c r="C70" s="698"/>
      <c r="D70" s="698"/>
      <c r="E70" s="698"/>
      <c r="F70" s="698"/>
      <c r="G70" s="698"/>
      <c r="H70" s="698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G4:I6"/>
    <mergeCell ref="I19:I20"/>
    <mergeCell ref="I21:I22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9" t="str">
        <f>texty!A45</f>
        <v>töltsék ki ezt az 5 sort !!! Adatok mm-ben</v>
      </c>
      <c r="C5" s="699"/>
      <c r="D5" s="699"/>
      <c r="E5" s="699"/>
      <c r="F5" s="699"/>
      <c r="G5" s="695"/>
      <c r="H5" s="695"/>
      <c r="I5" s="69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86" t="s">
        <v>974</v>
      </c>
      <c r="L19" s="5"/>
    </row>
    <row r="20" spans="1:22" ht="16.5" customHeight="1" x14ac:dyDescent="0.25">
      <c r="A20" s="6"/>
      <c r="B20" s="376" t="str">
        <f>texty!A242</f>
        <v>hézak 4 mm</v>
      </c>
      <c r="C20" s="7"/>
      <c r="E20" s="7"/>
      <c r="F20" s="7"/>
      <c r="G20" s="5"/>
      <c r="H20" s="5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megnevezés</v>
      </c>
      <c r="D27" s="17" t="str">
        <f>+'Romeo II'!D27</f>
        <v>db</v>
      </c>
      <c r="E27" s="17" t="str">
        <f>+'Romeo II'!E27</f>
        <v>db ár</v>
      </c>
      <c r="F27" s="17" t="str">
        <f>+'Romeo II'!F27</f>
        <v>ár összesen</v>
      </c>
      <c r="G27" s="18" t="str">
        <f>+'Romeo II'!G27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Fogantyú profil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A keret fölső profilja (sín)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A keret fölső profilja (sín)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A keret vízszintes profilja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6243.0970299999999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További tartozékok tolóajtó rendszerekhez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474" t="str">
        <f>VLOOKUP(B63,cennik!A:C,2,0)</f>
        <v>SEVROLL 20173 szerelő eszköz 10 mm-es rétegelt lemezre kicsi</v>
      </c>
      <c r="D63" s="41"/>
      <c r="E63" s="86">
        <f>+VLOOKUP(B63,cennik!A:G,3,FALSE)</f>
        <v>4493.0024999999996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5">
      <c r="A67" s="70" t="str">
        <f>System10!A67</f>
        <v>Az Ön megjegyzése:</v>
      </c>
      <c r="B67" s="700"/>
      <c r="C67" s="701"/>
      <c r="D67" s="701"/>
      <c r="E67" s="701"/>
      <c r="F67" s="701"/>
      <c r="G67" s="702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6" t="str">
        <f>profil!U15</f>
        <v/>
      </c>
      <c r="B68" s="697"/>
      <c r="C68" s="697"/>
      <c r="D68" s="697"/>
      <c r="E68" s="697"/>
      <c r="F68" s="697"/>
      <c r="G68" s="697"/>
      <c r="H68" s="697"/>
    </row>
    <row r="69" spans="1:14" ht="12.75" customHeight="1" x14ac:dyDescent="0.25">
      <c r="A69" s="698" t="str">
        <f>IF(N69=1,texty!A215,IF(K69&gt;0,texty!A214,""))</f>
        <v>egyes tételek nem a kiválasztott hosszúságban készülnek</v>
      </c>
      <c r="B69" s="698"/>
      <c r="C69" s="698"/>
      <c r="D69" s="698"/>
      <c r="E69" s="698"/>
      <c r="F69" s="698"/>
      <c r="G69" s="698"/>
      <c r="H69" s="698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22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9" t="str">
        <f>texty!A45</f>
        <v>töltsék ki ezt az 5 sort !!! Adatok mm-ben</v>
      </c>
      <c r="C5" s="699"/>
      <c r="D5" s="699"/>
      <c r="E5" s="699"/>
      <c r="F5" s="699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Abban az esetben, ha betét üveg ,</v>
      </c>
      <c r="H7" s="5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 biztonsági üveget kell használni,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vagy az üveget bebiztosítani védő fóliával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7"/>
      <c r="G11" s="3" t="str">
        <f>texty!A43</f>
        <v>Az ajtószárny maximális súlya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a tömítés hossza üvegre egy szárnyra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86" t="s">
        <v>974</v>
      </c>
      <c r="L19" s="5"/>
    </row>
    <row r="20" spans="1:22" ht="16.5" customHeight="1" x14ac:dyDescent="0.25">
      <c r="A20" s="6"/>
      <c r="B20" s="596" t="str">
        <f>texty!A242</f>
        <v>hézak 4 mm</v>
      </c>
      <c r="C20" s="7"/>
      <c r="E20" s="7"/>
      <c r="F20" s="7"/>
      <c r="G20" s="5"/>
      <c r="H20" s="5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5"/>
      <c r="I27" s="16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Felső profil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Alsó profil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Fogantyú profil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A keret fölső profilja (sín)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A keret vízszintes profilja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A keret vízszintes profilja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tolóajtó zár</v>
      </c>
      <c r="B53" s="15">
        <v>216363</v>
      </c>
      <c r="C53" s="23" t="str">
        <f>+VLOOKUP(B53,cennik!A:G,2,FALSE)</f>
        <v>SEVROLL 20356 tolóajtó zár 10/18mm</v>
      </c>
      <c r="D53" s="28"/>
      <c r="E53" s="86">
        <f>+VLOOKUP(B53,cennik!A:G,3,FALSE)</f>
        <v>6243.0970299999999</v>
      </c>
      <c r="F53" s="86">
        <f>+E53*D53</f>
        <v>0</v>
      </c>
      <c r="G53" s="87">
        <f>+F53*(100-G26)/100</f>
        <v>0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28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 xml:space="preserve"> A szükséges tömítés hossza a teljes beüvegezésnél (teljes métereket kell rendelni)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(abban az esetben ha H profilt használ hozzá kell számítani a szükséges hosszúságot-a tömítésnek az üveg teljes körvonalán kell lennie)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41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További tartozékok tolóajtó rendszerekhez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Ennek a rendszernek műszaki rajza</v>
      </c>
      <c r="B63" s="196">
        <v>129677</v>
      </c>
      <c r="C63" s="474" t="str">
        <f>VLOOKUP(B63,cennik!A:C,2,0)</f>
        <v>SEVROLL 20173 szerelő eszköz 10 mm-es rétegelt lemezre kicsi</v>
      </c>
      <c r="D63" s="41"/>
      <c r="E63" s="86">
        <f>+VLOOKUP(B63,cennik!A:G,3,FALSE)</f>
        <v>4493.0024999999996</v>
      </c>
      <c r="F63" s="91">
        <f>+CEILING(D63,1)*E63</f>
        <v>0</v>
      </c>
      <c r="G63" s="87">
        <f>F63</f>
        <v>0</v>
      </c>
      <c r="H63" s="5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Ft</v>
      </c>
      <c r="J66" s="166"/>
      <c r="K66" s="166"/>
      <c r="L66" s="4" t="str">
        <f>texty!A128</f>
        <v>ezüst</v>
      </c>
      <c r="M66" s="19" t="s">
        <v>968</v>
      </c>
    </row>
    <row r="67" spans="1:14" ht="12.75" customHeight="1" x14ac:dyDescent="0.25">
      <c r="A67" s="70" t="str">
        <f>System10!A67</f>
        <v>Az Ön megjegyzése:</v>
      </c>
      <c r="B67" s="700"/>
      <c r="C67" s="701"/>
      <c r="D67" s="701"/>
      <c r="E67" s="701"/>
      <c r="F67" s="701"/>
      <c r="G67" s="702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6" t="str">
        <f>profil!U15</f>
        <v/>
      </c>
      <c r="B68" s="697"/>
      <c r="C68" s="697"/>
      <c r="D68" s="697"/>
      <c r="E68" s="697"/>
      <c r="F68" s="697"/>
      <c r="G68" s="697"/>
      <c r="H68" s="697"/>
    </row>
    <row r="69" spans="1:14" ht="12.75" customHeight="1" x14ac:dyDescent="0.25">
      <c r="A69" s="698" t="str">
        <f>IF(N69=1,texty!A215,IF(K69&gt;0,texty!A214,""))</f>
        <v>egyes tételek nem a kiválasztott hosszúságban készülnek</v>
      </c>
      <c r="B69" s="698"/>
      <c r="C69" s="698"/>
      <c r="D69" s="698"/>
      <c r="E69" s="698"/>
      <c r="F69" s="698"/>
      <c r="G69" s="698"/>
      <c r="H69" s="698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2024 Bútorvasalat katalógus  old. 7.33</v>
      </c>
      <c r="B3" s="318" t="str">
        <f>CONCATENATE(texty!A34," / max.      3 040 mm /")</f>
        <v>magasság / max.      3 040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543</v>
      </c>
      <c r="S6" s="684" t="s">
        <v>544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IFERROR((C7-42),"")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3" t="str">
        <f>IF(SUM(D48:D49)&gt;0,texty!A245,"")</f>
        <v/>
      </c>
      <c r="B14" s="683"/>
      <c r="C14" s="599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3"/>
      <c r="B15" s="683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Felső kocsi (szett)</v>
      </c>
      <c r="B31" s="15">
        <v>229442</v>
      </c>
      <c r="C31" s="23" t="str">
        <f>+VLOOKUP(B31,cennik!A:G,2,FALSE)</f>
        <v>SEVROLL 10205 Master felső görgő 10mm - 2db</v>
      </c>
      <c r="D31" s="15">
        <f>IF((D50+D51)&gt;D4,0,D4-(D50+D51))</f>
        <v>0</v>
      </c>
      <c r="E31" s="86">
        <f>+VLOOKUP(B31,cennik!A:G,3,FALSE)</f>
        <v>2993.4061299999998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2368.0710600000002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Fogantyú profil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9041.7265599999992</v>
      </c>
      <c r="F45" s="91">
        <f>+CEILING(D45,1)*E45</f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9041.7265599999992</v>
      </c>
      <c r="F46" s="91">
        <f>+CEILING(D46,1)*E46</f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9041.7265599999992</v>
      </c>
      <c r="F47" s="91">
        <f>+CEILING(D47,1)*E47</f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19364.876939999998</v>
      </c>
      <c r="F48" s="91">
        <f>+CEILING(D48,1)*E48</f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19364.876939999998</v>
      </c>
      <c r="F49" s="91">
        <f>+CEILING(D49,1)*E49</f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61.50817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 xml:space="preserve"> A szükséges tömítés hossza a teljes beüvegezésnél (teljes métereket kell rendelni)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(abban az esetben ha H profilt használ hozzá kell számítani a szükséges hosszúságot-a tömítésnek az üveg teljes körvonalán kell lennie)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41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5" t="str">
        <f>cennik!B2</f>
        <v>Ft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41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További tartozékok tolóajtó rendszerekhez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Ennek a rendszernek műszaki rajza</v>
      </c>
      <c r="B64" s="196">
        <v>129677</v>
      </c>
      <c r="C64" s="153" t="str">
        <f>VLOOKUP(B64,cennik!A:C,2,0)</f>
        <v>SEVROLL 20173 szerelő eszköz 10 mm-es rétegelt lemezre kicsi</v>
      </c>
      <c r="D64" s="41"/>
      <c r="E64" s="86">
        <f>+VLOOKUP(B64,cennik!A:G,3,FALSE)</f>
        <v>4493.0024999999996</v>
      </c>
      <c r="F64" s="91">
        <f>+CEILING(D64,1)*E64</f>
        <v>0</v>
      </c>
      <c r="G64" s="87">
        <f>F64</f>
        <v>0</v>
      </c>
      <c r="H64" s="5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6" t="str">
        <f>IF(SUM(D50:D51)&gt;0,IF(C7&lt;(B4/3),texty!A212,""),"")</f>
        <v/>
      </c>
      <c r="B66" s="706"/>
      <c r="C66" s="706"/>
      <c r="D66" s="706"/>
      <c r="E66" s="706"/>
      <c r="F66" s="706"/>
      <c r="G66" s="706"/>
      <c r="H66" s="706"/>
      <c r="I66" s="706"/>
      <c r="J66" s="126"/>
    </row>
    <row r="67" spans="1:13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5">
      <c r="A68" s="70" t="str">
        <f>System10!A67</f>
        <v>Az Ön megjegyzése: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6" t="str">
        <f>profil!U15</f>
        <v/>
      </c>
      <c r="B69" s="697"/>
      <c r="C69" s="697"/>
      <c r="D69" s="697"/>
      <c r="E69" s="697"/>
      <c r="F69" s="697"/>
      <c r="G69" s="697"/>
    </row>
    <row r="70" spans="1:13" ht="12.75" customHeight="1" x14ac:dyDescent="0.25">
      <c r="A70" s="698" t="str">
        <f>IF(M70=1,texty!A215,IF(J70&gt;0,texty!A214,""))</f>
        <v>egyes tételek nem a kiválasztott hosszúságban készülnek</v>
      </c>
      <c r="B70" s="698"/>
      <c r="C70" s="698"/>
      <c r="D70" s="698"/>
      <c r="E70" s="698"/>
      <c r="F70" s="698"/>
      <c r="G70" s="698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2024 Bútorvasalat katalógus  old. 7.33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466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543</v>
      </c>
      <c r="S6" s="684" t="s">
        <v>544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a betét mérete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IFERROR((C7-68),"")</f>
        <v/>
      </c>
      <c r="D10" s="7"/>
      <c r="E10" s="7"/>
      <c r="F10" s="3" t="str">
        <f>texty!A43</f>
        <v>Az ajtószárny maximális súlya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3" t="str">
        <f>IF(SUM(D48:D49)&gt;0,texty!A245,"")</f>
        <v/>
      </c>
      <c r="B14" s="683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hézak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árengedmény: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Megrendelési kódok, árak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I27" s="16" t="str">
        <f>texty!A29</f>
        <v>Megjegyzés: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Felső profil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Alsó profil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Takaró profil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Felső kocsi (szett)</v>
      </c>
      <c r="B31" s="15">
        <v>98048</v>
      </c>
      <c r="C31" s="23" t="str">
        <f>+VLOOKUP(B31,cennik!A:G,2,FALSE)</f>
        <v>SEVROLL 10209 Future felső görgő 10mm J+B</v>
      </c>
      <c r="D31" s="15">
        <f>IF((D50+D51)&gt;D4,0,D4-(D50+D51))</f>
        <v>0</v>
      </c>
      <c r="E31" s="86">
        <f>+VLOOKUP(B31,cennik!A:G,3,FALSE)</f>
        <v>2726.8697200000001</v>
      </c>
      <c r="F31" s="86">
        <f t="shared" si="0"/>
        <v>0</v>
      </c>
      <c r="G31" s="87">
        <f>+F31*(100-G26)/100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Alsó kocsi (szett)</v>
      </c>
      <c r="B32" s="15">
        <v>328321</v>
      </c>
      <c r="C32" s="23" t="str">
        <f>+VLOOKUP(B32,cennik!A:G,2,FALSE)</f>
        <v>SEVROLL 10238 alsó görgő WD10 V 2db finomáll.nélk.</v>
      </c>
      <c r="D32" s="15">
        <f>+D4</f>
        <v>0</v>
      </c>
      <c r="E32" s="86">
        <f>+VLOOKUP(B32,cennik!A:G,3,FALSE)</f>
        <v>2368.0710600000002</v>
      </c>
      <c r="F32" s="86">
        <f t="shared" si="0"/>
        <v>0</v>
      </c>
      <c r="G32" s="87">
        <f>+F32*(100-G26)/100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Fogantyú profil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Összekötő csavar</v>
      </c>
      <c r="B35" s="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>+E35*D35</f>
        <v>0</v>
      </c>
      <c r="G35" s="87">
        <f>+F35*(100-G26)/100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A keret fölső profilja (sín)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Ft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A keret fölső profilja (sín)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A keret vízszintes profilja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A keret vízszintes profilja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Választható tartozékok:</v>
      </c>
      <c r="B41" s="7"/>
      <c r="D41" s="24" t="str">
        <f>System10!D41</f>
        <v>adja be a db számot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Finomállító felső vezetéshez</v>
      </c>
      <c r="B42" s="7">
        <v>298035</v>
      </c>
      <c r="C42" s="23" t="str">
        <f>+VLOOKUP(B42,cennik!A:G,2,FALSE)</f>
        <v>SEVROLL 20326 Fix Fix finomállító felső görgő-höz transzparens</v>
      </c>
      <c r="D42" s="27"/>
      <c r="E42" s="86">
        <f>+VLOOKUP(B42,cennik!A:G,3,FALSE)</f>
        <v>481.81545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Finomállító</v>
      </c>
      <c r="B43" s="15">
        <v>89063</v>
      </c>
      <c r="C43" s="23" t="str">
        <f>+VLOOKUP(B43,cennik!A:G,2,FALSE)</f>
        <v>SEVROLL 20080 finomállító HI-TEC alsó görgőhöz</v>
      </c>
      <c r="D43" s="27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Csavar az alsó sínre</v>
      </c>
      <c r="B44" s="7">
        <v>98019</v>
      </c>
      <c r="C44" s="23" t="str">
        <f>+VLOOKUP(B44,cennik!A:G,2,FALSE)</f>
        <v>SEVROLL 20041 csavar 2,5x18mm</v>
      </c>
      <c r="D44" s="27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ütközés csillapító MINI 25 kg-ig (pár)</v>
      </c>
      <c r="B45" s="15">
        <v>318662</v>
      </c>
      <c r="C45" s="23" t="str">
        <f>+VLOOKUP(B45,cennik!A:G,2,FALSE)</f>
        <v>SEVROLL 20368-SV ütközés csillapító Mini SV25 (14-25kg)</v>
      </c>
      <c r="D45" s="27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ütközés csillapító MINI 40 kg-ig (pár)</v>
      </c>
      <c r="B46" s="22">
        <v>283956</v>
      </c>
      <c r="C46" s="23" t="str">
        <f>+VLOOKUP(B46,cennik!A:G,2,FALSE)</f>
        <v>SEVROLL 20258-SV ütközés csillapító  Mini SV40 (25 - 40kg)</v>
      </c>
      <c r="D46" s="27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ütközés csillapító MINI 60 kg-ig (pár)</v>
      </c>
      <c r="B47" s="22">
        <v>351743</v>
      </c>
      <c r="C47" s="23" t="str">
        <f>+VLOOKUP(B47,cennik!A:G,2,FALSE)</f>
        <v>SEVROLL 20339-SV ütközés csillapító Mini SV60 (40 - 60kg)</v>
      </c>
      <c r="D47" s="27"/>
      <c r="E47" s="86">
        <f>+VLOOKUP(B47,cennik!A:G,3,FALSE)</f>
        <v>9041.7265599999992</v>
      </c>
      <c r="F47" s="91">
        <f t="shared" si="1"/>
        <v>0</v>
      </c>
      <c r="G47" s="87">
        <f>+F47*(100-G26)/100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csillapító a középső szárnyra 25 kg-ig</v>
      </c>
      <c r="B48" s="22">
        <v>318663</v>
      </c>
      <c r="C48" s="23" t="str">
        <f>+VLOOKUP(B48,cennik!A:G,2,FALSE)</f>
        <v>SEVROLL 20363-SV csillapító Central 10/18mm kétoldalú 25kg</v>
      </c>
      <c r="D48" s="27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csillapító a középső szárnyra 40 kg-ig</v>
      </c>
      <c r="B49" s="22">
        <v>283955</v>
      </c>
      <c r="C49" s="23" t="str">
        <f>+VLOOKUP(B49,cennik!A:G,2,FALSE)</f>
        <v>SEVROLL20319-SV  csillapító Central 10 / 18mm kétoldalas 25-40kg</v>
      </c>
      <c r="D49" s="27"/>
      <c r="E49" s="86">
        <f>+VLOOKUP(B49,cennik!A:G,3,FALSE)</f>
        <v>19364.876939999998</v>
      </c>
      <c r="F49" s="91">
        <f t="shared" si="1"/>
        <v>0</v>
      </c>
      <c r="G49" s="87">
        <f>+F49*(100-G26)/100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Összekötő profil H10-3méter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Összekötő profil H30-3méter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28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Összekötő csavar</v>
      </c>
      <c r="B55" s="15">
        <v>89244</v>
      </c>
      <c r="C55" s="23" t="str">
        <f>+VLOOKUP(B55,cennik!A:G,2,FALSE)</f>
        <v>SEVROLL20001  csavar 6,3x32 SEVROLL a Simple</v>
      </c>
      <c r="D55" s="28"/>
      <c r="E55" s="86">
        <f>+VLOOKUP(B55,cennik!A:G,3,FALSE)</f>
        <v>61.50817</v>
      </c>
      <c r="F55" s="86">
        <f>+E55*D55</f>
        <v>0</v>
      </c>
      <c r="G55" s="87">
        <f>+F55*(100-G26)/100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porfogó kefe</v>
      </c>
      <c r="B56" s="15">
        <v>95946</v>
      </c>
      <c r="C56" s="23" t="str">
        <f>+VLOOKUP(B56,cennik!A:G,2,FALSE)</f>
        <v>SEVROLL porfogó kefe becsúsztatható 4,8x13mm</v>
      </c>
      <c r="D56" s="28"/>
      <c r="E56" s="86">
        <f>+VLOOKUP(B56,cennik!A:G,3,FALSE)</f>
        <v>90.9</v>
      </c>
      <c r="F56" s="86">
        <f>+E56*D56</f>
        <v>0</v>
      </c>
      <c r="G56" s="87">
        <f>+F56*(100-G26)/100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 xml:space="preserve"> A szükséges tömítés hossza a teljes beüvegezésnél (teljes métereket kell rendelni)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(abban az esetben ha H profilt használ hozzá kell számítani a szükséges hosszúságot-a tömítésnek az üveg teljes körvonalán kell lennie)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41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41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5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41"/>
      <c r="E63" s="86">
        <f>+VLOOKUP(B63,cennik!A:G,3,FALSE)</f>
        <v>317.79295000000002</v>
      </c>
      <c r="F63" s="91">
        <f>+CEILING(D63,1)*E63</f>
        <v>0</v>
      </c>
      <c r="G63" s="87">
        <f>+F63*(100-G26)/100</f>
        <v>0</v>
      </c>
      <c r="H63" s="5" t="str">
        <f>cennik!B2</f>
        <v>Ft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További tartozékok tolóajtó rendszerekhez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Ennek a rendszernek műszaki rajza</v>
      </c>
      <c r="B65" s="153">
        <v>129677</v>
      </c>
      <c r="C65" s="153" t="str">
        <f>VLOOKUP(B65,cennik!A:C,2,0)</f>
        <v>SEVROLL 20173 szerelő eszköz 10 mm-es rétegelt lemezre kicsi</v>
      </c>
      <c r="D65" s="41"/>
      <c r="E65" s="86">
        <f>+VLOOKUP(B65,cennik!A:G,3,FALSE)</f>
        <v>4493.0024999999996</v>
      </c>
      <c r="F65" s="91">
        <f>+CEILING(D65,1)*E65</f>
        <v>0</v>
      </c>
      <c r="G65" s="87">
        <f>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fúró fokozatos 6,5/9,5mm</v>
      </c>
      <c r="D66" s="41"/>
      <c r="E66" s="86">
        <f>+VLOOKUP(B66,cennik!A:G,3,FALSE)</f>
        <v>10898.66318</v>
      </c>
      <c r="F66" s="91">
        <f>+CEILING(D66,1)*E66</f>
        <v>0</v>
      </c>
      <c r="G66" s="87">
        <f>F66</f>
        <v>0</v>
      </c>
      <c r="H66" s="5" t="str">
        <f>cennik!B2</f>
        <v>Ft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6" t="str">
        <f>IF(SUM(D50:D51)&gt;0,IF(C7&lt;(B4/3),texty!A212,""),"")</f>
        <v/>
      </c>
      <c r="B67" s="706"/>
      <c r="C67" s="706"/>
      <c r="D67" s="706"/>
      <c r="E67" s="706"/>
      <c r="F67" s="706"/>
      <c r="G67" s="706"/>
      <c r="H67" s="706"/>
      <c r="I67" s="706"/>
      <c r="J67" s="126"/>
    </row>
    <row r="68" spans="1:13" ht="12.75" customHeight="1" x14ac:dyDescent="0.25">
      <c r="B68" s="7"/>
      <c r="C68" s="7"/>
      <c r="D68" s="71" t="str">
        <f>texty!A15</f>
        <v>Összesen áfával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Ft</v>
      </c>
      <c r="I68" s="166"/>
      <c r="J68" s="166"/>
      <c r="K68" s="4" t="str">
        <f>texty!A128</f>
        <v>ezüst</v>
      </c>
    </row>
    <row r="69" spans="1:13" ht="12.75" customHeight="1" x14ac:dyDescent="0.25">
      <c r="A69" s="70" t="str">
        <f>System10!A67</f>
        <v>Az Ön megjegyzése:</v>
      </c>
      <c r="B69" s="703"/>
      <c r="C69" s="704"/>
      <c r="D69" s="704"/>
      <c r="E69" s="704"/>
      <c r="F69" s="704"/>
      <c r="G69" s="704"/>
      <c r="K69" s="4" t="str">
        <f>texty!A130</f>
        <v>oliva</v>
      </c>
    </row>
    <row r="70" spans="1:13" ht="12.75" customHeight="1" x14ac:dyDescent="0.25">
      <c r="A70" s="696" t="str">
        <f>profil!U15</f>
        <v/>
      </c>
      <c r="B70" s="697"/>
      <c r="C70" s="697"/>
      <c r="D70" s="697"/>
      <c r="E70" s="697"/>
      <c r="F70" s="697"/>
      <c r="G70" s="697"/>
    </row>
    <row r="71" spans="1:13" ht="12.75" customHeight="1" x14ac:dyDescent="0.25">
      <c r="A71" s="698" t="str">
        <f>IF(M71=1,texty!A215,IF(J71&gt;0,texty!A214,""))</f>
        <v>egyes tételek nem a kiválasztott hosszúságban készülnek</v>
      </c>
      <c r="B71" s="698"/>
      <c r="C71" s="698"/>
      <c r="D71" s="698"/>
      <c r="E71" s="698"/>
      <c r="F71" s="698"/>
      <c r="G71" s="698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a betét mérete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IFERROR((C7-33.2),"")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3" t="str">
        <f>IF(SUM(D50:D51)&gt;0,texty!A247,"")</f>
        <v/>
      </c>
      <c r="B14" s="683"/>
      <c r="C14" s="38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3"/>
      <c r="B15" s="683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hézak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399.80439000000001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349942</v>
      </c>
      <c r="C33" s="23" t="str">
        <f>+VLOOKUP(B33,cennik!A:G,2,FALSE)</f>
        <v>SEVROLL 10239  felső görgő Blue 10mm aszimmetrikus J+B</v>
      </c>
      <c r="D33" s="15">
        <f>+D4</f>
        <v>0</v>
      </c>
      <c r="E33" s="86">
        <f>+VLOOKUP(B33,cennik!A:G,3,FALSE)</f>
        <v>1435.1946800000001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1076.396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97.2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5">
        <v>89244</v>
      </c>
      <c r="C37" s="23" t="str">
        <f>+VLOOKUP(B37,cennik!A:G,2,FALSE)</f>
        <v>SEVROLL20001  csavar 6,3x32 SEVROLL a Simple</v>
      </c>
      <c r="D37" s="15">
        <f>+D4*4</f>
        <v>0</v>
      </c>
      <c r="E37" s="86">
        <f>+VLOOKUP(B37,cennik!A:G,3,FALSE)</f>
        <v>61.50817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A keret vízszintes profilja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A keret vízszintes profilja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Választható tartozékok:</v>
      </c>
      <c r="B43" s="7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481.81545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Finomállító</v>
      </c>
      <c r="B45" s="589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143.51965000000001</v>
      </c>
      <c r="F45" s="91">
        <f>+CEILING(D45,1)*E45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11.584149999999999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Összekötő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Összekötő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Összekötő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350024</v>
      </c>
      <c r="C50" s="23" t="str">
        <f>+VLOOKUP(B50,cennik!A:G,2,FALSE)</f>
        <v>SEVROLL ütközés csillapító Simple/Blue 10/18 25kg J+B</v>
      </c>
      <c r="D50" s="408"/>
      <c r="E50" s="86">
        <f>+VLOOKUP(B50,cennik!A:G,3,FALSE)</f>
        <v>9728.5697999999993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>Rendelésre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22">
        <v>293776</v>
      </c>
      <c r="C51" s="23" t="str">
        <f>+VLOOKUP(B51,cennik!A:G,2,FALSE)</f>
        <v>SEVROLL ütközés csillapító Simple/Blue 10/18, 25 - 40kg , J+B</v>
      </c>
      <c r="D51" s="27"/>
      <c r="E51" s="86">
        <f>+VLOOKUP(B51,cennik!A:G,3,FALSE)</f>
        <v>9728.5697999999993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>Rendelésre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Összekötő csavar</v>
      </c>
      <c r="B52" s="15">
        <v>89244</v>
      </c>
      <c r="C52" s="23" t="str">
        <f>+VLOOKUP(B52,cennik!A:G,2,FALSE)</f>
        <v>SEVROLL20001  csavar 6,3x32 SEVROLL a Simple</v>
      </c>
      <c r="D52" s="28"/>
      <c r="E52" s="86">
        <f>+VLOOKUP(B52,cennik!A:G,3,FALSE)</f>
        <v>61.50817</v>
      </c>
      <c r="F52" s="86">
        <f>+E52*D52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 xml:space="preserve"> A szükséges tömítés hossza a teljes beüvegezésnél (teljes métereket kell rendelni)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(abban az esetben ha H profilt használ hozzá kell számítani a szükséges hosszúságot-a tömítésnek az üveg teljes körvonalán kell lennie)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tömítés üvegre 4mm</v>
      </c>
      <c r="B57" s="15">
        <v>89238</v>
      </c>
      <c r="C57" s="23" t="str">
        <f>+VLOOKUP(B57,cennik!A:G,2,FALSE)</f>
        <v>SEVROLL20031  tömítés üvegre 10/4mm</v>
      </c>
      <c r="D57" s="41"/>
      <c r="E57" s="86">
        <f>+VLOOKUP(B57,cennik!A:G,3,FALSE)</f>
        <v>317.79295000000002</v>
      </c>
      <c r="F57" s="91">
        <f>+CEILING(D57,1)*E57</f>
        <v>0</v>
      </c>
      <c r="G57" s="87">
        <f>+F57*(100-G28)/100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tömítés üvegre 4,5 mm</v>
      </c>
      <c r="B58" s="15">
        <v>135164</v>
      </c>
      <c r="C58" s="23" t="str">
        <f>+VLOOKUP(B58,cennik!A:G,2,FALSE)</f>
        <v>SEVROLL 20032-SV tömítés üvegre 10/4,5mm</v>
      </c>
      <c r="D58" s="41"/>
      <c r="E58" s="86">
        <f>+VLOOKUP(B58,cennik!A:G,3,FALSE)</f>
        <v>317.79295000000002</v>
      </c>
      <c r="F58" s="91">
        <f>+CEILING(D58,1)*E58</f>
        <v>0</v>
      </c>
      <c r="G58" s="87">
        <f>+F58*(100-G28)/100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tömítés üvegre 6mm</v>
      </c>
      <c r="B59" s="15">
        <v>89243</v>
      </c>
      <c r="C59" s="23" t="str">
        <f>+VLOOKUP(B59,cennik!A:G,2,FALSE)</f>
        <v>SEVROLL 20033-SV  tömítés üvegre 10/6mm</v>
      </c>
      <c r="D59" s="41"/>
      <c r="E59" s="86">
        <f>+VLOOKUP(B59,cennik!A:G,3,FALSE)</f>
        <v>317.79295000000002</v>
      </c>
      <c r="F59" s="91">
        <f>+CEILING(D59,1)*E59</f>
        <v>0</v>
      </c>
      <c r="G59" s="87">
        <f>+F59*(100-G28)/100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További tartozékok tolóajtó rendszerekhez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Ennek a rendszernek műszaki rajza</v>
      </c>
      <c r="B61" s="196">
        <v>128842</v>
      </c>
      <c r="C61" s="153" t="str">
        <f>VLOOKUP(B61,cennik!A:C,2,0)</f>
        <v>SEVROLL 20144 fúró fokozatos 6,5/9,5mm</v>
      </c>
      <c r="D61" s="41"/>
      <c r="E61" s="86">
        <f>+VLOOKUP(B61,cennik!A:G,3,FALSE)</f>
        <v>10898.66318</v>
      </c>
      <c r="F61" s="91">
        <f>+CEILING(D61,1)*E61</f>
        <v>0</v>
      </c>
      <c r="G61" s="87">
        <f>F61</f>
        <v>0</v>
      </c>
      <c r="H61" s="5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Összesen áfával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Ft</v>
      </c>
      <c r="I63" s="166"/>
      <c r="J63" s="166"/>
      <c r="K63" s="4" t="str">
        <f>texty!A128</f>
        <v>ezüst</v>
      </c>
    </row>
    <row r="64" spans="1:11" ht="12.75" customHeight="1" x14ac:dyDescent="0.25">
      <c r="A64" s="70" t="str">
        <f>System10!A67</f>
        <v>Az Ön megjegyzése:</v>
      </c>
      <c r="B64" s="703"/>
      <c r="C64" s="704"/>
      <c r="D64" s="704"/>
      <c r="E64" s="704"/>
      <c r="F64" s="704"/>
      <c r="G64" s="704"/>
      <c r="K64" s="4" t="str">
        <f>texty!A130</f>
        <v>oliva</v>
      </c>
    </row>
    <row r="65" spans="1:13" ht="12.75" customHeight="1" x14ac:dyDescent="0.25">
      <c r="A65" s="696" t="str">
        <f>profil!U15</f>
        <v/>
      </c>
      <c r="B65" s="696"/>
      <c r="C65" s="696"/>
      <c r="D65" s="696"/>
      <c r="E65" s="696"/>
      <c r="F65" s="696"/>
      <c r="G65" s="696"/>
    </row>
    <row r="66" spans="1:13" ht="12.75" customHeight="1" x14ac:dyDescent="0.25">
      <c r="A66" s="698" t="str">
        <f>IF(M66=1,texty!A215,IF(J66&gt;0,texty!A214,""))</f>
        <v>egyes tételek nem a kiválasztott hosszúságban készülnek</v>
      </c>
      <c r="B66" s="698"/>
      <c r="C66" s="698"/>
      <c r="D66" s="698"/>
      <c r="E66" s="698"/>
      <c r="F66" s="698"/>
      <c r="G66" s="698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18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texty!A72</f>
        <v>a betét mérete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F11" s="3" t="str">
        <f>texty!A44</f>
        <v>Az ajtószárny maximális súlya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a tömítés hossza üvegre egy szárnyra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3" t="str">
        <f>IF(SUM(D52:D53)&gt;0,texty!A247,"")</f>
        <v/>
      </c>
      <c r="B14" s="683"/>
      <c r="C14" s="382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3"/>
      <c r="B15" s="683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3"/>
      <c r="B16" s="683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3"/>
      <c r="B17" s="683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hézak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 árengedmény: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Megrendelési kódok, árak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megnevezés</v>
      </c>
      <c r="D30" s="17" t="str">
        <f>+System10!D27</f>
        <v>db</v>
      </c>
      <c r="E30" s="17" t="str">
        <f>+System10!E27</f>
        <v>db ár</v>
      </c>
      <c r="F30" s="17" t="str">
        <f>+System10!F27</f>
        <v>ár összesen</v>
      </c>
      <c r="G30" s="18" t="str">
        <f>+System10!G27</f>
        <v>összesen nettó</v>
      </c>
      <c r="I30" s="16" t="str">
        <f>texty!A29</f>
        <v>Megjegyzés: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Felső profil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Alsó profil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takaró elem alsó vezetésre</v>
      </c>
      <c r="B33" s="15">
        <v>216362</v>
      </c>
      <c r="C33" s="23" t="str">
        <f>+VLOOKUP(B33,cennik!A:G,2,FALSE)</f>
        <v>SEVROLL 20223 takaró profil alsó vezetésre Simple/Blue átlátszó</v>
      </c>
      <c r="D33" s="15">
        <f>CEILING(C4/1000,1)</f>
        <v>0</v>
      </c>
      <c r="E33" s="86">
        <f>+VLOOKUP(B33,cennik!A:G,3,FALSE)</f>
        <v>399.80439000000001</v>
      </c>
      <c r="F33" s="86">
        <f t="shared" si="0"/>
        <v>0</v>
      </c>
      <c r="G33" s="87">
        <f>+F33*(100-G29)/100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Felső kocsi (szett)</v>
      </c>
      <c r="B34" s="15">
        <v>349943</v>
      </c>
      <c r="C34" s="23" t="str">
        <f>+VLOOKUP(B34,cennik!A:G,2,FALSE)</f>
        <v>SEVROLL 10240 felső görgő Blue 10mm szimmetrikus J+B</v>
      </c>
      <c r="D34" s="15">
        <f>+D4</f>
        <v>0</v>
      </c>
      <c r="E34" s="86">
        <f>+VLOOKUP(B34,cennik!A:G,3,FALSE)</f>
        <v>1435.1946800000001</v>
      </c>
      <c r="F34" s="86">
        <f t="shared" si="0"/>
        <v>0</v>
      </c>
      <c r="G34" s="87">
        <f>+F34*(100-G29)/100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Alsó kocsi (szett)</v>
      </c>
      <c r="B35" s="15">
        <v>229446</v>
      </c>
      <c r="C35" s="23" t="str">
        <f>+VLOOKUP(B35,cennik!A:G,2,FALSE)</f>
        <v>SEVROLL 10223 alsó görgő Simple/Blue V (keretes rendszer) - 2db</v>
      </c>
      <c r="D35" s="15">
        <f>+D4</f>
        <v>0</v>
      </c>
      <c r="E35" s="86">
        <f>+VLOOKUP(B35,cennik!A:G,3,FALSE)</f>
        <v>1076.396</v>
      </c>
      <c r="F35" s="86">
        <f t="shared" si="0"/>
        <v>0</v>
      </c>
      <c r="G35" s="87">
        <f>+F35*(100-G29)/100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>Finomállító</v>
      </c>
      <c r="B36" s="589">
        <v>229681</v>
      </c>
      <c r="C36" s="23" t="str">
        <f>+VLOOKUP(B36,cennik!A:G,2,FALSE)</f>
        <v>SEVROLL 10163 Simple/Blue finomállító alsó görgő-höz</v>
      </c>
      <c r="D36" s="15">
        <f>+D4</f>
        <v>0</v>
      </c>
      <c r="E36" s="86">
        <f>+VLOOKUP(B36,cennik!A:G,3,FALSE)</f>
        <v>143.51965000000001</v>
      </c>
      <c r="F36" s="86">
        <f t="shared" si="0"/>
        <v>0</v>
      </c>
      <c r="G36" s="87">
        <f>+F36*(100-G29)/100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támfalas kefe</v>
      </c>
      <c r="B37" s="15">
        <v>98067</v>
      </c>
      <c r="C37" s="23" t="str">
        <f>+VLOOKUP(B37,cennik!A:G,2,FALSE)</f>
        <v>SEVROLL támfalas kefe becsúsztatható 14x4mm szürke</v>
      </c>
      <c r="D37" s="15">
        <f>CEILING((B4*D4*2/1000),1)</f>
        <v>0</v>
      </c>
      <c r="E37" s="86">
        <f>+VLOOKUP(B37,cennik!A:G,3,FALSE)</f>
        <v>97.2</v>
      </c>
      <c r="F37" s="86">
        <f t="shared" si="0"/>
        <v>0</v>
      </c>
      <c r="G37" s="87">
        <f>+F37*(100-G29)/100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Fogantyú profil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Összekötő csavar</v>
      </c>
      <c r="B39" s="5">
        <v>89244</v>
      </c>
      <c r="C39" s="23" t="str">
        <f>+VLOOKUP(B39,cennik!A:G,2,FALSE)</f>
        <v>SEVROLL20001  csavar 6,3x32 SEVROLL a Simple</v>
      </c>
      <c r="D39" s="15">
        <f>+D4*4</f>
        <v>0</v>
      </c>
      <c r="E39" s="86">
        <f>+VLOOKUP(B39,cennik!A:G,3,FALSE)</f>
        <v>61.50817</v>
      </c>
      <c r="F39" s="86">
        <f>+E39*D39</f>
        <v>0</v>
      </c>
      <c r="G39" s="87">
        <f>+F39*(100-G29)/100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A keret fölső profilja (sín)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A keret fölső profilja (sín)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A keret vízszintes profilja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Ft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A keret vízszintes profilja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Ft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Választható tartozékok:</v>
      </c>
      <c r="B45" s="7"/>
      <c r="D45" s="24" t="str">
        <f>System10!D41</f>
        <v>adja be a db számot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Finomállító felső vezetéshez</v>
      </c>
      <c r="B46" s="7">
        <v>298035</v>
      </c>
      <c r="C46" s="23" t="str">
        <f>+VLOOKUP(B46,cennik!A:G,2,FALSE)</f>
        <v>SEVROLL 20326 Fix Fix finomállító felső görgő-höz transzparens</v>
      </c>
      <c r="D46" s="27"/>
      <c r="E46" s="86">
        <f>+VLOOKUP(B46,cennik!A:G,3,FALSE)</f>
        <v>481.81545</v>
      </c>
      <c r="F46" s="91">
        <f>+CEILING(D46,1)*E46</f>
        <v>0</v>
      </c>
      <c r="G46" s="87">
        <f>+F46*(100-G29)/100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Finomállító</v>
      </c>
      <c r="B47" s="589">
        <v>229681</v>
      </c>
      <c r="C47" s="23" t="str">
        <f>+VLOOKUP(B47,cennik!A:G,2,FALSE)</f>
        <v>SEVROLL 10163 Simple/Blue finomállító alsó görgő-höz</v>
      </c>
      <c r="D47" s="27"/>
      <c r="E47" s="86">
        <f>+VLOOKUP(B47,cennik!A:G,3,FALSE)</f>
        <v>143.51965000000001</v>
      </c>
      <c r="F47" s="91">
        <f>+CEILING(D47,1)*E47</f>
        <v>0</v>
      </c>
      <c r="G47" s="87">
        <f>+F47*(100-G29)/100</f>
        <v>0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Csavar az alsó sínre</v>
      </c>
      <c r="B48" s="7">
        <v>98019</v>
      </c>
      <c r="C48" s="23" t="str">
        <f>+VLOOKUP(B48,cennik!A:G,2,FALSE)</f>
        <v>SEVROLL 20041 csavar 2,5x18mm</v>
      </c>
      <c r="D48" s="27"/>
      <c r="E48" s="86">
        <f>+VLOOKUP(B48,cennik!A:G,3,FALSE)</f>
        <v>11.584149999999999</v>
      </c>
      <c r="F48" s="91">
        <f>+CEILING(D48,1)*E48</f>
        <v>0</v>
      </c>
      <c r="G48" s="87">
        <f>+F48*(100-G29)/100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Összekötő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Összekötő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Összekötő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ütközés csillapító MINI 25 kg-ig (pár)</v>
      </c>
      <c r="B52" s="15">
        <v>350024</v>
      </c>
      <c r="C52" s="23" t="str">
        <f>+VLOOKUP(B52,cennik!A:G,2,FALSE)</f>
        <v>SEVROLL ütközés csillapító Simple/Blue 10/18 25kg J+B</v>
      </c>
      <c r="D52" s="408"/>
      <c r="E52" s="86">
        <f>+VLOOKUP(B52,cennik!A:G,3,FALSE)</f>
        <v>9728.5697999999993</v>
      </c>
      <c r="F52" s="91">
        <f>+CEILING(D52,1)*E52</f>
        <v>0</v>
      </c>
      <c r="G52" s="87">
        <f>+F52*(100-G29)/100</f>
        <v>0</v>
      </c>
      <c r="H52" s="5" t="str">
        <f>cennik!B2</f>
        <v>Ft</v>
      </c>
      <c r="I52" s="363" t="str">
        <f>IFERROR(IF((VLOOKUP(B52,cennik!A:L,12,0))="O",texty!A250,""),"")</f>
        <v>Rendelésre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ütközés csillapító MINI 40 kg-ig (pár)</v>
      </c>
      <c r="B53" s="22">
        <v>293776</v>
      </c>
      <c r="C53" s="23" t="str">
        <f>+VLOOKUP(B53,cennik!A:G,2,FALSE)</f>
        <v>SEVROLL ütközés csillapító Simple/Blue 10/18, 25 - 40kg , J+B</v>
      </c>
      <c r="D53" s="27"/>
      <c r="E53" s="86">
        <f>+VLOOKUP(B53,cennik!A:G,3,FALSE)</f>
        <v>9728.5697999999993</v>
      </c>
      <c r="F53" s="91">
        <f>+CEILING(D53,1)*E53</f>
        <v>0</v>
      </c>
      <c r="G53" s="87">
        <f>+F53*(100-G29)/100</f>
        <v>0</v>
      </c>
      <c r="H53" s="5" t="str">
        <f>cennik!B2</f>
        <v>Ft</v>
      </c>
      <c r="I53" s="363" t="str">
        <f>IFERROR(IF((VLOOKUP(B53,cennik!A:L,12,0))="O",texty!A250,""),"")</f>
        <v>Rendelésre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Összekötő csavar</v>
      </c>
      <c r="B57" s="15">
        <v>89244</v>
      </c>
      <c r="C57" s="23" t="str">
        <f>+VLOOKUP(B57,cennik!A:G,2,FALSE)</f>
        <v>SEVROLL20001  csavar 6,3x32 SEVROLL a Simple</v>
      </c>
      <c r="D57" s="28"/>
      <c r="E57" s="86">
        <f>+VLOOKUP(B57,cennik!A:G,3,FALSE)</f>
        <v>61.50817</v>
      </c>
      <c r="F57" s="86">
        <f>+E57*D57</f>
        <v>0</v>
      </c>
      <c r="G57" s="87">
        <f>+F57*(100-G29)/100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 xml:space="preserve"> A szükséges tömítés hossza a teljes beüvegezésnél (teljes métereket kell rendelni)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(abban az esetben ha H profilt használ hozzá kell számítani a szükséges hosszúságot-a tömítésnek az üveg teljes körvonalán kell lennie)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tömítés üvegre 4mm</v>
      </c>
      <c r="B63" s="15">
        <v>89238</v>
      </c>
      <c r="C63" s="23" t="str">
        <f>+VLOOKUP(B63,cennik!A:G,2,FALSE)</f>
        <v>SEVROLL20031  tömítés üvegre 10/4mm</v>
      </c>
      <c r="D63" s="41"/>
      <c r="E63" s="86">
        <f>+VLOOKUP(B63,cennik!A:G,3,FALSE)</f>
        <v>317.79295000000002</v>
      </c>
      <c r="F63" s="91">
        <f>+CEILING(D63,1)*E63</f>
        <v>0</v>
      </c>
      <c r="G63" s="87">
        <f>+F63*(100-G29)/100</f>
        <v>0</v>
      </c>
      <c r="H63" s="5" t="str">
        <f>cennik!B2</f>
        <v>Ft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tömítés üvegre 4,5 mm</v>
      </c>
      <c r="B64" s="15">
        <v>135164</v>
      </c>
      <c r="C64" s="23" t="str">
        <f>+VLOOKUP(B64,cennik!A:G,2,FALSE)</f>
        <v>SEVROLL 20032-SV tömítés üvegre 10/4,5mm</v>
      </c>
      <c r="D64" s="41"/>
      <c r="E64" s="86">
        <f>+VLOOKUP(B64,cennik!A:G,3,FALSE)</f>
        <v>317.79295000000002</v>
      </c>
      <c r="F64" s="91">
        <f>+CEILING(D64,1)*E64</f>
        <v>0</v>
      </c>
      <c r="G64" s="87">
        <f>+F64*(100-G29)/100</f>
        <v>0</v>
      </c>
      <c r="H64" s="5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tömítés üvegre 6mm</v>
      </c>
      <c r="B65" s="15">
        <v>89243</v>
      </c>
      <c r="C65" s="23" t="str">
        <f>+VLOOKUP(B65,cennik!A:G,2,FALSE)</f>
        <v>SEVROLL 20033-SV  tömítés üvegre 10/6mm</v>
      </c>
      <c r="D65" s="41"/>
      <c r="E65" s="86">
        <f>+VLOOKUP(B65,cennik!A:G,3,FALSE)</f>
        <v>317.79295000000002</v>
      </c>
      <c r="F65" s="91">
        <f>+CEILING(D65,1)*E65</f>
        <v>0</v>
      </c>
      <c r="G65" s="87">
        <f>+F65*(100-G29)/100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További tartozékok tolóajtó rendszerekhez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Ennek a rendszernek műszaki rajza</v>
      </c>
      <c r="B67" s="196">
        <v>128842</v>
      </c>
      <c r="C67" s="474" t="str">
        <f>VLOOKUP(B67,cennik!A:C,2,0)</f>
        <v>SEVROLL 20144 fúró fokozatos 6,5/9,5mm</v>
      </c>
      <c r="D67" s="41"/>
      <c r="E67" s="86">
        <f>+VLOOKUP(B67,cennik!A:G,3,FALSE)</f>
        <v>10898.66318</v>
      </c>
      <c r="F67" s="91">
        <f>+CEILING(D67,1)*E67</f>
        <v>0</v>
      </c>
      <c r="G67" s="87">
        <f>F67</f>
        <v>0</v>
      </c>
      <c r="H67" s="5" t="str">
        <f>cennik!B2</f>
        <v>Ft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Összesen áfával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Ft</v>
      </c>
      <c r="I69" s="166"/>
      <c r="J69" s="166"/>
      <c r="K69" s="4" t="str">
        <f>texty!A128</f>
        <v>ezüst</v>
      </c>
    </row>
    <row r="70" spans="1:13" ht="12.75" customHeight="1" x14ac:dyDescent="0.25">
      <c r="A70" s="70" t="str">
        <f>System10!A67</f>
        <v>Az Ön megjegyzése:</v>
      </c>
      <c r="B70" s="703"/>
      <c r="C70" s="704"/>
      <c r="D70" s="704"/>
      <c r="E70" s="704"/>
      <c r="F70" s="704"/>
      <c r="G70" s="704"/>
      <c r="K70" s="4" t="str">
        <f>texty!A130</f>
        <v>oliva</v>
      </c>
    </row>
    <row r="71" spans="1:13" ht="12.75" customHeight="1" x14ac:dyDescent="0.25">
      <c r="A71" s="696" t="str">
        <f>profil!U15</f>
        <v/>
      </c>
      <c r="B71" s="697"/>
      <c r="C71" s="697"/>
      <c r="D71" s="697"/>
      <c r="E71" s="697"/>
      <c r="F71" s="697"/>
      <c r="G71" s="697"/>
    </row>
    <row r="72" spans="1:13" ht="12.75" customHeight="1" x14ac:dyDescent="0.25">
      <c r="A72" s="698" t="str">
        <f>IF(M72=1,texty!A215,IF(J72&gt;0,texty!A214,""))</f>
        <v>egyes tételek nem a kiválasztott hosszúságban készülnek</v>
      </c>
      <c r="B72" s="698"/>
      <c r="C72" s="698"/>
      <c r="D72" s="698"/>
      <c r="E72" s="698"/>
      <c r="F72" s="698"/>
      <c r="G72" s="698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3" t="str">
        <f>IF(SUM(D47:D48)&gt;0,texty!A245,"")</f>
        <v/>
      </c>
      <c r="B14" s="683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hézak 4 mm</v>
      </c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496998</v>
      </c>
      <c r="C31" s="23" t="str">
        <f>+VLOOKUP(B31,cennik!A:G,2,FALSE)</f>
        <v>SEVROLL 05691 GM 18 felső görgő 18mm - 2db</v>
      </c>
      <c r="D31" s="15">
        <f>IF((D50+D51)&gt;D4,0,D4-(D50+D51))</f>
        <v>0</v>
      </c>
      <c r="E31" s="86">
        <f>+VLOOKUP(B31,cennik!A:G,3,FALSE)</f>
        <v>2265.5571500000001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6">
        <v>129677</v>
      </c>
      <c r="C65" s="477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data!J17</f>
        <v>matt feket</v>
      </c>
      <c r="M70" s="19"/>
    </row>
    <row r="71" spans="1:14" ht="12.75" customHeight="1" x14ac:dyDescent="0.25">
      <c r="A71" s="680" t="str">
        <f>IF(N71=1,texty!A215,IF(K71&gt;0,texty!A214,""))</f>
        <v>egyes tételek nem a kiválasztott hosszúságban készülnek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0:I21"/>
    <mergeCell ref="I22:I23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217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4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Másik profilra nincs szükség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Ez a tétel megrendelésre van, a szállítási határidő 4 hét! töltse ki mind a 4  adatot !!! A méretek mm-ben vannak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ehhez a színhez nem áll rendelkezésre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kefélt oliva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Amennyiben mint betétet üveget/tükröt fog használni, tömítést kell rendelni. A tömítés hossza egy ajtószárnyra kb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Amennyiben mint betétet üveget/tükröt fog használni, tömítést kell rendelni. A tömítés hossza egy ajtószárnyra kb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 xml:space="preserve"> amennyiben több ajtószárny van meg.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 xml:space="preserve"> amennyiben több ajtószárny van meg 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 xml:space="preserve"> A szükséges tömítés hossza a teljes beüvegezésnél (teljes métereket kell rendelni)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 xml:space="preserve"> A szükséges tömítés hossza a teljes beüvegezésnél (teljes métereket kell rendelni)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(abban az esetben ha H profilt használ hozzá kell számítani a szükséges hosszúságot-a tömítésnek az üveg teljes körvonalán kell lennie)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(abban az esetben ha H profilt használ hozzá kell számítani a szükséges hosszúságot-a tömítésnek az üveg teljes körvonalán kell lennie)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Az Ön megjegyzése: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Összesen áfával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megnevezés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db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db ár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ár összesen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összesen nettó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 árengedmény: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BEÉPÍTETT SZEKRÉNYEK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Vevő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Név: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Utca: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Város, Irányító szám: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VSZ: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Engedmény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Megjegyzés: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Betét vas. 10mm (vagy üveg/tükör a felhasznált tömítéssel- vas. 4 vagy 6 mm) - Keretes ajtó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Betét vas. 4mm (üveg/tükör) - Keretes ajtó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Betét 18 mm (faforgácslap 18mm, esetleg FFL + üveg/ tükör kombinációja):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adja be a db számot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magasság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szélesség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az ajtók száma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szín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alsó vezetés típusa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Abban az esetben, ha betét üveg ,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 xml:space="preserve"> biztonsági üveget kell használni,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vagy az üveget bebiztosítani védő fóliával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Üveg betétnél (vagy tükörnél)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Az ajtószárny maximális súlya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Az ajtószárny maximális súlya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töltsék ki ezt az 5 sort !!! Adatok mm-ben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töltsék ki ezt a 4 sort !!! Adatok mm-ben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Az ajtó szárny: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A betét mérete 18 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A betét mérete 12 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A tükör mérete/ 12mm FFL-ra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fogantyú profil hossza (+2mm)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Utólagos levonás a kiszámított magasságból  a betéteknél az elválasztó profilok használatakor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levonás üveg betétnél = 4 mm (2 mm minden oldalon)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Lásd a képet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kefélt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magasság 3,5 m-ig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magasság 3 m-ig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 xml:space="preserve">Dekoratív fóliát alkalmazhat, lásd a fóliák mintáit. Egyes fóliák megrendelésre vannak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Az árak eltérnek a dekortól függően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GM 18 rendszer (FFL 18mm és üveg kombináció) (keretes)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Simple rendszer (FFL 18mm és üveg kombináció)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A betét mérete 16 mm: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Ennél a variációnál nem használható az  üveg/tükör kombináció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Cak megrendelésre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Választható tartozékok: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 xml:space="preserve">Felület a dekor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fólia alkalmazására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Rendszerek:        A profil minta dobozokat a következő kódon rendelheti: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A SZEKRÉNY BELSŐ MÉRETE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ajtó szárny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a betét mérete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a tükör/üveg mérete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a vezető és takaró profil mérete 1 szárnyra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alsó/felső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fogantyú profil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a tömítés hossza üvegre egy szárnyra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Utólagos levonás a kiszámított magasságból  a betéteknél az elválasztó profilok használatakor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levonás a tömítésre 2mm/1 oldal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Megrendelési kódok, árak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Felső profil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Alsó profil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Takaró profil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Felső kocsi (szett)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Alsó kocsi (szett)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Finomállító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Finomállító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Finomállító felső vezetéshez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támfalas kefe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porfogó kefe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Fogantyú profil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Összekötő csavar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A keret fölső profilja (sín)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A keret fölső profilja (sín)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A keret vízszintes profilja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A keret vízszintes profilja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Ütközés tompító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Ütközés tompító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Ütközés tompító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Összekötő profil H10-3méter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Összekötő profil H30-3méter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tömítés üvegre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tömítés üvegre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tömítés üvegre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tömítés üvegre 4mm aszimmetrikus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felső profil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Alsó profil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Takaró profil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Felső kocsi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Alsó kocsi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>Finomállító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Porkefe (méterek) becsúsztatható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Fogantyú profil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Összekötő profil H18- 3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összekötő T-profil 3 m / vájattal 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összekötő T-profil 3 m / peremmel 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FFL-ra 18 mm-3 m / sima 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FFL-ra 18 mm-3 m / peremmel 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Sarok elem mini 11x17mm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Sarok elem mini 11x17mm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Sarok elem  mini11x17mm - 3,00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Sarok elem K2 t19x18mm - 1,7 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Sarok elem K2 19x18mm - 2,35 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Sarok elem K2 19x18mm - 3,00 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Ütközés tompító (db)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FFL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tükör/üveg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ezüst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arany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kefélt oliva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fehér fényes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Kiárusítás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Töltse ki a kapcsolati adatokat, beadhatja a partner engedményét is. Ezek az adatok át lesznek mentve az egyes lapokra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Válassza ki a kívánt fogantyú profilt (kattintson a profil névre a kép alatt)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A kivánt oldalon töltse ki a nyílás méretét.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Töltse ki az ajtók számát, amelyek a csoportba tartoznak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Válassza ki a kivánt profil színt (kattintson a szín mezőre, ezután kattintson a nyílra – megjelenik a jegyzék, itt válassza ki a színt)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Abban az esetben, ha az ajtót szét akarja osztani profilokkal, adja meg a szórólap alján a profilok számát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 xml:space="preserve">7. Abban az esetben, amikor az ajtót választó profillal akarja elválasztani, a nyomtatványon válassza ki az elválasztó profilok számát. 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 A tömítés hossza egy szárnyra van megadva.  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A tömítés hossza olyan esetre van számítva, hogy az egész betét üveg/tükör.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A fogantyú profil osztása esetén a vágás szélessége kb 5mm-re van számítva.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Használati utasítás: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Fólia minták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A zöld jelzésen kívüli fólia minták megrendelésre vannak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A színek ábrázolása csak  orientáció ként szolgál, függhet a monitor színbeállításától stb.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Kívánságra mintákat küldése lehetséges 179111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skladem = raktáron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ehhez a színhez nem szükséges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ÚJDONSÁG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 xml:space="preserve">ÚJDONSÁG csak megrendelésre
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Feldolgozva a gyártó által biztosított adatok alapján, hibalehetőség  fenntartva. Főleg tömegtermelésnél prototípus legyártását ajánljuk.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szin (masság 14,7 m, szélesség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Adja meg kérem a kivánt méterek számát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Adja meg a csomagok számát.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Kiárusítás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>amennyibe a megrendelésének az értékét fölemeli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kap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 xml:space="preserve"> db csillapítót ingyen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raktáron szettek 2 és 3 ajtószárnyra hosszúságok: 1,8 m (2szá.), 2,5m (3szá.) és 2,7m (2szá.)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újított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ráhúzható kefe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most újonnan raktáron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egyes tételek lehetnek megrendelésre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Összekötő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Összekötő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Összekötő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Összekötő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Ajánlott hozzá rendelni még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db csillapító, hogy a szerelvény teljesen csillapított legyen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SEVROLL TOLÓAJTÓ TOMPÍTÓ - Akció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A magasság levonása a csillapító 11027 szerelésénél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(az összes paraméterre)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A sín maximális hossza 3,6m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Csavar az alsó sínre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Sarok elem  11x17mm - 1,7 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Sarok elem  11x17mm - 2,35 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Sarok elem 11x17mm - 3,0 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Sarok elem  20x26mm - 1,8 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Sarok elem  20x26mm - 2,7 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Sarok elem 20x26mm - 3,6 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Összekötő profil H 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szálcsi.fekete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szálcsi.oliva sö.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Összekötő profil H25 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További tartozékok tolóajtó rendszerekhez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Akció – csillapító ingyen!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db 18mm–es laminált laphoz, Alfa, Tytan, Oaza, Victoria, Factor, Focus, Universal, Ergo, fogantyú profilok részére, csillapító kód-11027, az akció az árukészlet erejéig érvényes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 xml:space="preserve">Vissza a főoldalra 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Az ajtószárny max. nagysága  tükörrel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EGYSZERŰ VEZETÉS BEÉPÍTETT SZEKRÉNYEKHEZ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Klipsz támfalas kefére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Szállítható komplett, profil szett+vasalat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szett 2 ajtószárny, szélesség 1,8m (profilok 182716 + vasalat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szett 3 ajtószárny, szélesség 2,5m (profilok 188479 + vasalat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A szettben megrendelt tételek nem pontosan egyformák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szálcsi.fekete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szálcsi.oliva sö.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Összekötő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Összekötő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Összekötő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SEV-feler. ék Blue 40 db. (üveg 4mm 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pole poznámka môžete doplniť prípadné zmeny, pripomienky apod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porkefe becsúsztatható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takaró elem alsó vezetésre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Két átfedésnél, felhasználhatja az ajtószárnyak méretének kiszámításához a szélesség felét 2 ajtószárnynál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Az ajtószárnyak a kiválasztott konfigurációnál keskenyek és magasak, különösen akkor, ha csillapítót használ, megtörténhet, hogy működési problémák léphetnek fel.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VÉDŐ FÓLIA ÜVEG BETÉTRE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Egyes elemek vannak érdekében, kérjük, hogy a szállítási idő 5 hét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egyes tételek nem a kiválasztott hosszúságban készülnek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A PROFILOK LAKKOZÁSA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bármilyen RAL színárnyalatra festhető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választható fényes/ matt (a megrendelésnél meg kell adni)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korlátozott hosszúság max.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(KERET NÉLKÜLI)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(keretes)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Comfort Systém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Szerelési útmutató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http://www.demos24plus.com/_Catalogs/hu/Kovani2014/index.html#488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http://www.demos24plus.com/_Catalogs/hu/Kovani2014/index.html#484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http://www.demos24plus.com/_Catalogs/hu/Kovani2014/index.html#472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Kiválasztott 4 szárnyat,válassza ki az átfedések számát (2 vagy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ütközés csillapító MINI 25 kg-ig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ütközés csillapító MINI 40 kg-ig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ütközés csillapító MINI 60 kg-ig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csillapító a középső szárnyra 25 kg-ig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csillapító a középső szárnyra 40 kg-ig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merevítő-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takarósapka (4 db)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A szárny maximális szélessége 1 100 mm lehet!!!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ragasztható fogantyú,fehér fényes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ragasztható fogantyú,ezüst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 xml:space="preserve">Dekoratív ragasztó szalagok 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ebben a színben és méretben az adott profilt nem gyártjuk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tolóajtó zár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ek a 16mm hézak kitöltéséhez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hézak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2024 Bútorvasalat katalógus  old.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Ennek a rendszernek műszaki rajza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Abban az esetben ha  központi csillapítót használnak, akkor csökkenteni kell a szárnymagasságot (csak a csillapítás helyén) további 2 mm-rel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Abban az esetben ha  központi csillapítót használnak, akkor csökkenteni kell a szárnymagasságot (csak a csillapítás helyén) további 4 mm-rel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Abban az esetben ha MINI SV csillapítót használnak,akkor csökkenteni kell a szárnymagasságot további 4mm-rel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Abban az esetben ha  központi csillapítót használnak, akkor csökkenteni kell a szárnymagasságot (csak a csillapítás helyén) további 9 mm-rel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Abban az esetben ha  központi csillapítót használnak, akkor csökkenteni kell a szárnymagasságot (csak a csillapítás helyén) további 4 mm-rel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Rendelésre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Összekötő profil H18-3méter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Összekötő profil H25-3méter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GM 18 rendszer (FFL 18mm és üveg kombináció) (keret nélküli)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(keretes)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(keret nélküli)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(keretes)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(keret nélküli)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(keretes)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(keret nélküli)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(keretes)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(keret nélküli)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(keretes)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(keret nélküli)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fekete szerkezeti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Összekötő profil H08/18- 3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fogantyú profil 100mm matt fekete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fogantyú profil 100mmm matt fehér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fogantyú profil 100mm fényes fekete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fogantyú profil 100mm ezüst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fogantyú profil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fogantyú profil 100mm grafit - minta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fogantyú profil 100mm oliva sötét szálcsiszolt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fogantyú profil 100mm fekete szerkezeti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Kis profilminták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fogantyú profil 100mm matt fekete</v>
      </c>
    </row>
    <row r="278" spans="1:11" ht="14.4" x14ac:dyDescent="0.25">
      <c r="D278" s="574">
        <v>462141</v>
      </c>
      <c r="E278" s="130" t="str">
        <f t="shared" ref="E278:E280" si="5">A268</f>
        <v>Faworyt II fogantyú profil 100mmm matt fehér</v>
      </c>
    </row>
    <row r="279" spans="1:11" ht="14.4" x14ac:dyDescent="0.25">
      <c r="D279" s="574">
        <v>462142</v>
      </c>
      <c r="E279" s="130" t="str">
        <f t="shared" si="5"/>
        <v>Fox II fogantyú profil 100mm fényes fekete</v>
      </c>
    </row>
    <row r="280" spans="1:11" ht="14.4" x14ac:dyDescent="0.25">
      <c r="D280" s="574">
        <v>462153</v>
      </c>
      <c r="E280" s="130" t="str">
        <f t="shared" si="5"/>
        <v>Vitara fogantyú profil 100mm ezüst</v>
      </c>
    </row>
    <row r="281" spans="1:11" ht="14.4" x14ac:dyDescent="0.25">
      <c r="D281" s="574">
        <v>495479</v>
      </c>
      <c r="E281" s="130" t="str">
        <f>$A$272</f>
        <v>Alfa II fogantyú profil 100mm grafit - minta</v>
      </c>
    </row>
    <row r="282" spans="1:11" ht="14.4" x14ac:dyDescent="0.25">
      <c r="D282" s="574">
        <v>524036</v>
      </c>
      <c r="E282" s="130" t="str">
        <f>$A$273</f>
        <v>Victoria II fogantyú profil 100mm oliva sötét szálcsiszolt</v>
      </c>
    </row>
    <row r="283" spans="1:11" ht="14.4" x14ac:dyDescent="0.3">
      <c r="D283" s="575">
        <v>526554</v>
      </c>
      <c r="E283" s="130" t="str">
        <f>$A$274</f>
        <v>Alfa II fogantyú profil 100mm fekete szerkezeti</v>
      </c>
    </row>
    <row r="284" spans="1:11" ht="14.4" x14ac:dyDescent="0.3">
      <c r="D284" s="614" t="s">
        <v>11410</v>
      </c>
      <c r="E284" s="130" t="str">
        <f>A288</f>
        <v>Alfa II fogantyú profil 100mm arany/sárgaréz</v>
      </c>
    </row>
    <row r="285" spans="1:11" ht="14.4" x14ac:dyDescent="0.3">
      <c r="D285" s="614" t="s">
        <v>11411</v>
      </c>
      <c r="E285" s="130" t="str">
        <f>A289</f>
        <v>Tytan fogantyú profil 100mm 18mm oliva</v>
      </c>
    </row>
    <row r="287" spans="1:11" ht="14.4" x14ac:dyDescent="0.3">
      <c r="D287" s="572"/>
      <c r="E287" s="572"/>
      <c r="F287" s="572"/>
      <c r="G287" s="572"/>
      <c r="H287" s="572"/>
    </row>
    <row r="288" spans="1:11" ht="13.2" x14ac:dyDescent="0.25">
      <c r="A288" t="str">
        <f t="shared" ref="A288:A289" si="6">IF($G$1=1,B288,IF($G$1=2,D288,IF($G$1=3,E288,IF($G$1=4,C288,IF($G$1=5,I288,IF($G$1=6,J288,IF($G$1=7,K288,"zadat jazyk")))))))</f>
        <v>Alfa II fogantyú profil 100mm arany/sárgaréz</v>
      </c>
      <c r="B288" s="613" t="s">
        <v>11420</v>
      </c>
      <c r="C288" s="613" t="s">
        <v>11412</v>
      </c>
      <c r="D288" s="613" t="s">
        <v>11414</v>
      </c>
      <c r="E288" s="613" t="s">
        <v>11422</v>
      </c>
      <c r="I288" s="613" t="s">
        <v>11417</v>
      </c>
      <c r="J288" s="613" t="s">
        <v>11423</v>
      </c>
    </row>
    <row r="289" spans="1:10" ht="13.2" x14ac:dyDescent="0.25">
      <c r="A289" t="str">
        <f t="shared" si="6"/>
        <v>Tytan fogantyú profil 100mm 18mm oliva</v>
      </c>
      <c r="B289" s="613" t="s">
        <v>11421</v>
      </c>
      <c r="C289" s="613" t="s">
        <v>11413</v>
      </c>
      <c r="D289" s="613" t="s">
        <v>11415</v>
      </c>
      <c r="E289" s="613" t="s">
        <v>11416</v>
      </c>
      <c r="I289" s="613" t="s">
        <v>11418</v>
      </c>
      <c r="J289" s="613" t="s">
        <v>11419</v>
      </c>
    </row>
    <row r="290" spans="1:10" ht="14.4" x14ac:dyDescent="0.3">
      <c r="D290" s="573"/>
      <c r="E290" s="572"/>
      <c r="G290" s="572"/>
    </row>
    <row r="291" spans="1:10" ht="14.4" x14ac:dyDescent="0.3">
      <c r="D291" s="573"/>
      <c r="E291" s="572"/>
      <c r="G291" s="572"/>
    </row>
    <row r="292" spans="1:10" ht="14.4" x14ac:dyDescent="0.3">
      <c r="D292" s="573"/>
      <c r="E292" s="572"/>
      <c r="G292" s="572"/>
    </row>
    <row r="293" spans="1:10" ht="14.4" x14ac:dyDescent="0.3">
      <c r="D293" s="573"/>
      <c r="E293" s="572"/>
      <c r="G293" s="572"/>
    </row>
    <row r="294" spans="1:10" ht="14.4" x14ac:dyDescent="0.3">
      <c r="D294" s="573"/>
      <c r="E294" s="572"/>
      <c r="G294" s="572"/>
    </row>
    <row r="295" spans="1:10" ht="14.4" x14ac:dyDescent="0.3">
      <c r="D295" s="573"/>
      <c r="E295" s="572"/>
      <c r="G295" s="572"/>
    </row>
    <row r="296" spans="1:10" ht="14.4" x14ac:dyDescent="0.3">
      <c r="D296" s="573"/>
      <c r="E296" s="572"/>
      <c r="G296" s="572"/>
    </row>
    <row r="297" spans="1:10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2024 Bútorvasalat katalógus  old. 7.35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A betét mérete 18 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494"/>
      <c r="C11" s="495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3" t="str">
        <f>IF(SUM(D47:D48)&gt;0,texty!A245,"")</f>
        <v/>
      </c>
      <c r="B14" s="683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496997</v>
      </c>
      <c r="C31" s="23" t="str">
        <f>+VLOOKUP(B31,cennik!A:G,2,FALSE)</f>
        <v>SEVROLL 05689 GM 18 felső görgő 18mm - 2db</v>
      </c>
      <c r="D31" s="15">
        <f>IF((D50+D51)&gt;D4,0,D4-(D50+D51))</f>
        <v>0</v>
      </c>
      <c r="E31" s="86">
        <f>+VLOOKUP(B31,cennik!A:G,3,FALSE)</f>
        <v>1896.5072500000001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IF(F4=M68,362316,229440)</f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2060.5293299999998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Ennek a rendszernek műszaki rajza</v>
      </c>
      <c r="B65" s="476">
        <v>129677</v>
      </c>
      <c r="C65" s="478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data!J17</f>
        <v>matt feket</v>
      </c>
      <c r="M70" s="19"/>
    </row>
    <row r="71" spans="1:14" ht="12.75" hidden="1" customHeight="1" x14ac:dyDescent="0.25">
      <c r="A71" s="680" t="str">
        <f>IF(N71=1,texty!A215,IF(K71&gt;0,texty!A214,""))</f>
        <v>egyes tételek nem a kiválasztott hosszúságban készülnek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/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3" t="str">
        <f>IF(SUM(D47:D48)&gt;0,texty!A245,"")</f>
        <v/>
      </c>
      <c r="B14" s="683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hézak 4 mm</v>
      </c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2040.0269000000001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9">
        <v>129677</v>
      </c>
      <c r="C65" s="480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M70" s="19"/>
    </row>
    <row r="71" spans="1:14" ht="12.75" customHeight="1" x14ac:dyDescent="0.25">
      <c r="A71" s="680" t="str">
        <f>IF(N71=1,texty!A215,IF(K71&gt;0,texty!A214,""))</f>
        <v>egyes tételek nem a kiválasztott hosszúságban készülnek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20:I21"/>
    <mergeCell ref="I22:I23"/>
    <mergeCell ref="A67:I67"/>
    <mergeCell ref="B69:G69"/>
    <mergeCell ref="A70:H70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A betét mérete 18 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alsó/felső profil</v>
      </c>
      <c r="B9" s="491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fogantyú profil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9" t="str">
        <f>IF(SUM(D42:D43)&gt;0,texty!A245,"")</f>
        <v/>
      </c>
      <c r="B13" s="709"/>
      <c r="C13" s="599" t="str">
        <f>texty!A78</f>
        <v>Utólagos levonás a kiszámított magasságból  a betéteknél az elválasztó profilok használatakor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9"/>
      <c r="B14" s="709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Felső kocsi (szett)</v>
      </c>
      <c r="B31" s="447">
        <v>496944</v>
      </c>
      <c r="C31" s="23" t="str">
        <f>+VLOOKUP(B31,cennik!A:G,2,FALSE)</f>
        <v>SEVROLL 05689 GM 18 board felső görgő 18mm - 2db</v>
      </c>
      <c r="D31" s="15">
        <f>IF((D45+D46)&gt;D4,0,D4-(D45+D46))</f>
        <v>0</v>
      </c>
      <c r="E31" s="86">
        <f>+VLOOKUP(B31,cennik!A:G,3,FALSE)</f>
        <v>1896.5072500000001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Alsó kocsi (szett)</v>
      </c>
      <c r="B32" s="447"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2060.5293299999998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támfalas kefe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Finomállító felső vezetéshez</v>
      </c>
      <c r="B37" s="447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481.81545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Finomállító</v>
      </c>
      <c r="B38" s="447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123.01676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ütközés csillapító MINI 25 kg-ig (pár)</v>
      </c>
      <c r="B39" s="447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9041.7265599999992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ütközés csillapító MINI 40 kg-ig (pár)</v>
      </c>
      <c r="B40" s="415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9041.7265599999992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ütközés csillapító MINI 60 kg-ig (pár)</v>
      </c>
      <c r="B41" s="415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9041.7265599999992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csillapító a középső szárnyra 25 kg-ig</v>
      </c>
      <c r="B42" s="415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19364.876939999998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csillapító a középső szárnyra 40 kg-ig</v>
      </c>
      <c r="B43" s="415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19364.876939999998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Csavar az alsó sínre</v>
      </c>
      <c r="B44" s="447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Ütközés tompító (pár) 25 kg</v>
      </c>
      <c r="B45" s="415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Ütközés tompító (pár) 50 kg</v>
      </c>
      <c r="B46" s="415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Összekötő profil H18-3méter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Összekötő profil H25-3méter</v>
      </c>
      <c r="B48" s="447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Összekötő csavar</v>
      </c>
      <c r="B49" s="447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61.50817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Ennek a rendszernek műszaki rajza</v>
      </c>
      <c r="B60" s="479">
        <v>129677</v>
      </c>
      <c r="C60" s="480" t="str">
        <f>VLOOKUP(B60,cennik!A:C,2,0)</f>
        <v>SEVROLL 20173 szerelő eszköz 10 mm-es rétegelt lemezre kicsi</v>
      </c>
      <c r="D60" s="355"/>
      <c r="E60" s="86">
        <f>+VLOOKUP(B60,cennik!A:G,3,FALSE)</f>
        <v>4493.0024999999996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5" t="str">
        <f>IF(SUM(D45:D46)&gt;0,IF(C7&lt;(B4/3),texty!A212,""),"")</f>
        <v/>
      </c>
      <c r="B62" s="685"/>
      <c r="C62" s="685"/>
      <c r="D62" s="685"/>
      <c r="E62" s="685"/>
      <c r="F62" s="685"/>
      <c r="G62" s="685"/>
      <c r="H62" s="685"/>
      <c r="I62" s="68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5">
      <c r="A64" s="337" t="str">
        <f>System10!A67</f>
        <v>Az Ön megjegyzése:</v>
      </c>
      <c r="B64" s="690"/>
      <c r="C64" s="691"/>
      <c r="D64" s="691"/>
      <c r="E64" s="691"/>
      <c r="F64" s="691"/>
      <c r="G64" s="692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9" t="str">
        <f>profil!U15</f>
        <v/>
      </c>
      <c r="B65" s="679"/>
      <c r="C65" s="679"/>
      <c r="D65" s="679"/>
      <c r="E65" s="679"/>
      <c r="F65" s="679"/>
      <c r="G65" s="679"/>
      <c r="H65" s="679"/>
      <c r="I65" s="22"/>
      <c r="M65" s="19"/>
    </row>
    <row r="66" spans="1:14" ht="12.75" customHeight="1" x14ac:dyDescent="0.25">
      <c r="A66" s="680" t="str">
        <f>IF(N66=1,texty!A215,IF(K66&gt;0,texty!A214,""))</f>
        <v>egyes tételek nem a kiválasztott hosszúságban készülnek</v>
      </c>
      <c r="B66" s="680"/>
      <c r="C66" s="680"/>
      <c r="D66" s="680"/>
      <c r="E66" s="680"/>
      <c r="F66" s="680"/>
      <c r="G66" s="680"/>
      <c r="H66" s="680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13:B14"/>
    <mergeCell ref="A66:H66"/>
    <mergeCell ref="I20:I21"/>
    <mergeCell ref="I22:I23"/>
    <mergeCell ref="A62:I62"/>
    <mergeCell ref="B64:G64"/>
    <mergeCell ref="A65:H65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(keretes)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A betét mérete 18 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3" t="str">
        <f>IF(SUM(D47:D48)&gt;0,texty!A245,"")</f>
        <v/>
      </c>
      <c r="B14" s="683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3"/>
      <c r="B15" s="683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Felső kocsi (szett)</v>
      </c>
      <c r="B31" s="447">
        <v>228009</v>
      </c>
      <c r="C31" s="23" t="str">
        <f>+VLOOKUP(B31,cennik!A3:G984,2,FALSE)</f>
        <v>SEVROLL 10204 felső görgő Gemini szimmetrikus 10mm - 2db</v>
      </c>
      <c r="D31" s="15">
        <f>IF((D50+D51)&gt;D4,0,D4-(D50+D51))</f>
        <v>0</v>
      </c>
      <c r="E31" s="86">
        <f>+VLOOKUP(B31,cennik!A:G,3,FALSE)</f>
        <v>2040.0269000000001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Alsó kocsi (szett)</v>
      </c>
      <c r="B32" s="447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támfalas kefe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Összekötő csavar</v>
      </c>
      <c r="B35" s="447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A keret fölső profilja (sín)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A keret fölső profilja (sín)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A keret vízszintes profilja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A keret vízszintes profilja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Finomállító felső vezetéshez</v>
      </c>
      <c r="B42" s="447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Finomállító</v>
      </c>
      <c r="B43" s="447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ütközés csillapító MINI 25 kg-ig (pár)</v>
      </c>
      <c r="B44" s="447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ütközés csillapító MINI 40 kg-ig (pár)</v>
      </c>
      <c r="B45" s="415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ütközés csillapító MINI 60 kg-ig (pár)</v>
      </c>
      <c r="B46" s="415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csillapító a középső szárnyra 25 kg-ig</v>
      </c>
      <c r="B47" s="415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csillapító a középső szárnyra 40 kg-ig</v>
      </c>
      <c r="B48" s="415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447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415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415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Összekötő profil H18-3méter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Összekötő profil H25-3méter</v>
      </c>
      <c r="B53" s="447" t="str">
        <f>IFERROR(VLOOKUP(P7,data!C891:D893,2,0),"N/A")</f>
        <v>N/A</v>
      </c>
      <c r="C53" s="23" t="str">
        <f>IF(B53=data!D64,texty!A239,+VLOOKUP(B53,cennik!A:G,2,FALSE))</f>
        <v>ebben a színben és méretben az adott profilt nem gyártjuk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447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447" t="s">
        <v>67</v>
      </c>
      <c r="C61" s="23" t="str">
        <f>+VLOOKUP(B61,cennik!A:G,2,FALSE)</f>
        <v>SEVROLL 20106 tömítés üvegre 18/4-4,5mm aszimmetrikus</v>
      </c>
      <c r="D61" s="355"/>
      <c r="E61" s="86">
        <f>+VLOOKUP(B61,cennik!A:G,3,FALSE)</f>
        <v>908.27302999999995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9">
        <v>129677</v>
      </c>
      <c r="C65" s="480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/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M70" s="19"/>
    </row>
    <row r="71" spans="1:14" ht="12.75" customHeight="1" x14ac:dyDescent="0.25">
      <c r="A71" s="680" t="str">
        <f>IF(N71=1,texty!A215,IF(K71&gt;0,texty!A214,""))</f>
        <v>egyes tételek nem a kiválasztott hosszúságban készülnek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A67:I67"/>
    <mergeCell ref="B69:G69"/>
    <mergeCell ref="A70:H70"/>
    <mergeCell ref="I22:I23"/>
    <mergeCell ref="I20:I21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(keret nélküli)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2024 Bútorvasalat katalógus  old. 7.56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>
        <f>IF(L11="jiné",M12,L11)</f>
        <v>1700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texty!A48</f>
        <v>A betét mérete 18 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alsó/felső profil</v>
      </c>
      <c r="B9" s="491"/>
      <c r="C9" s="64" t="str">
        <f>TRIM(C4)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fogantyú profil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Az ajtószárny maximális súlya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10" t="str">
        <f>IF(SUM(D42:D43)&gt;0,texty!A246,"")</f>
        <v/>
      </c>
      <c r="B12" s="710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10"/>
      <c r="B13" s="710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10"/>
      <c r="B14" s="710"/>
      <c r="C14" s="382" t="str">
        <f>texty!A78</f>
        <v>Utólagos levonás a kiszámított magasságból  a betéteknél az elválasztó profilok használatakor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7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7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8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8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Felső profil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Alsó profil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Takaró profil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Felső kocsi (szett)</v>
      </c>
      <c r="B31" s="447">
        <v>496944</v>
      </c>
      <c r="C31" s="23" t="str">
        <f>+VLOOKUP(B31,cennik!A:G,2,FALSE)</f>
        <v>SEVROLL 05689 GM 18 board felső görgő 18mm - 2db</v>
      </c>
      <c r="D31" s="15">
        <f>IF((D45+D46)&gt;D4,0,D4-(D45+D46))</f>
        <v>0</v>
      </c>
      <c r="E31" s="86">
        <f>+VLOOKUP(B31,cennik!A:G,3,FALSE)</f>
        <v>1896.5072500000001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Alsó kocsi (szett)</v>
      </c>
      <c r="B32" s="447">
        <v>229440</v>
      </c>
      <c r="C32" s="23" t="str">
        <f>+VLOOKUP(B32,cennik!A:G,2,FALSE)</f>
        <v>SEVROLL 10198 alsó görgő WD 18C HI-TEC - 2db</v>
      </c>
      <c r="D32" s="15">
        <f>+D4</f>
        <v>0</v>
      </c>
      <c r="E32" s="86">
        <f>+VLOOKUP(B32,cennik!A:G,3,FALSE)</f>
        <v>2060.5293299999998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támfalas kefe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Fogantyú profil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Választható tartozékok:</v>
      </c>
      <c r="B36" s="15"/>
      <c r="C36" s="19"/>
      <c r="D36" s="343" t="str">
        <f>System10!D41</f>
        <v>adja be a db számot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Finomállító felső vezetéshez</v>
      </c>
      <c r="B37" s="447">
        <v>298035</v>
      </c>
      <c r="C37" s="23" t="str">
        <f>+VLOOKUP(B37,cennik!A:G,2,FALSE)</f>
        <v>SEVROLL 20326 Fix Fix finomállító felső görgő-höz transzparens</v>
      </c>
      <c r="D37" s="278"/>
      <c r="E37" s="86">
        <f>+VLOOKUP(B37,cennik!A:G,3,FALSE)</f>
        <v>481.81545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Finomállító</v>
      </c>
      <c r="B38" s="447">
        <f>IF(F4="Gemini",387424,89063)</f>
        <v>89063</v>
      </c>
      <c r="C38" s="23" t="str">
        <f>+VLOOKUP(B38,cennik!A:G,2,FALSE)</f>
        <v>SEVROLL 20080 finomállító HI-TEC alsó görgőhöz</v>
      </c>
      <c r="D38" s="278"/>
      <c r="E38" s="86">
        <f>+VLOOKUP(B38,cennik!A:G,3,FALSE)</f>
        <v>123.01676</v>
      </c>
      <c r="F38" s="91">
        <f t="shared" si="1"/>
        <v>0</v>
      </c>
      <c r="G38" s="87">
        <f>+F38*(100-G26)/100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ütközés csillapító MINI 25 kg-ig (pár)</v>
      </c>
      <c r="B39" s="447">
        <v>318662</v>
      </c>
      <c r="C39" s="23" t="str">
        <f>+VLOOKUP(B39,cennik!A:G,2,FALSE)</f>
        <v>SEVROLL 20368-SV ütközés csillapító Mini SV25 (14-25kg)</v>
      </c>
      <c r="D39" s="278"/>
      <c r="E39" s="86">
        <f>+VLOOKUP(B39,cennik!A:G,3,FALSE)</f>
        <v>9041.7265599999992</v>
      </c>
      <c r="F39" s="91">
        <f t="shared" si="1"/>
        <v>0</v>
      </c>
      <c r="G39" s="87">
        <f>+F39*(100-G26)/100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ütközés csillapító MINI 40 kg-ig (pár)</v>
      </c>
      <c r="B40" s="415">
        <v>283956</v>
      </c>
      <c r="C40" s="23" t="str">
        <f>+VLOOKUP(B40,cennik!A:G,2,FALSE)</f>
        <v>SEVROLL 20258-SV ütközés csillapító  Mini SV40 (25 - 40kg)</v>
      </c>
      <c r="D40" s="278"/>
      <c r="E40" s="86">
        <f>+VLOOKUP(B40,cennik!A:G,3,FALSE)</f>
        <v>9041.7265599999992</v>
      </c>
      <c r="F40" s="91">
        <f t="shared" si="1"/>
        <v>0</v>
      </c>
      <c r="G40" s="87">
        <f>+F40*(100-G26)/100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ütközés csillapító MINI 60 kg-ig (pár)</v>
      </c>
      <c r="B41" s="415">
        <v>351743</v>
      </c>
      <c r="C41" s="23" t="str">
        <f>+VLOOKUP(B41,cennik!A:G,2,FALSE)</f>
        <v>SEVROLL 20339-SV ütközés csillapító Mini SV60 (40 - 60kg)</v>
      </c>
      <c r="D41" s="278"/>
      <c r="E41" s="86">
        <f>+VLOOKUP(B41,cennik!A:G,3,FALSE)</f>
        <v>9041.7265599999992</v>
      </c>
      <c r="F41" s="91">
        <f t="shared" si="1"/>
        <v>0</v>
      </c>
      <c r="G41" s="87">
        <f>+F41*(100-G26)/100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csillapító a középső szárnyra 25 kg-ig</v>
      </c>
      <c r="B42" s="415">
        <v>318663</v>
      </c>
      <c r="C42" s="23" t="str">
        <f>+VLOOKUP(B42,cennik!A:G,2,FALSE)</f>
        <v>SEVROLL 20363-SV csillapító Central 10/18mm kétoldalú 25kg</v>
      </c>
      <c r="D42" s="278"/>
      <c r="E42" s="86">
        <f>+VLOOKUP(B42,cennik!A:G,3,FALSE)</f>
        <v>19364.876939999998</v>
      </c>
      <c r="F42" s="91">
        <f t="shared" si="1"/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csillapító a középső szárnyra 40 kg-ig</v>
      </c>
      <c r="B43" s="415">
        <v>283955</v>
      </c>
      <c r="C43" s="23" t="str">
        <f>+VLOOKUP(B43,cennik!A:G,2,FALSE)</f>
        <v>SEVROLL20319-SV  csillapító Central 10 / 18mm kétoldalas 25-40kg</v>
      </c>
      <c r="D43" s="278"/>
      <c r="E43" s="86">
        <f>+VLOOKUP(B43,cennik!A:G,3,FALSE)</f>
        <v>19364.876939999998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Csavar az alsó sínre</v>
      </c>
      <c r="B44" s="447">
        <v>98019</v>
      </c>
      <c r="C44" s="23" t="str">
        <f>+VLOOKUP(B44,cennik!A:G,2,FALSE)</f>
        <v>SEVROLL 20041 csavar 2,5x18mm</v>
      </c>
      <c r="D44" s="278"/>
      <c r="E44" s="86">
        <f>+VLOOKUP(B44,cennik!A:G,3,FALSE)</f>
        <v>11.584149999999999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Ütközés tompító (pár) 25 kg</v>
      </c>
      <c r="B45" s="415">
        <v>227185</v>
      </c>
      <c r="C45" s="23" t="str">
        <f>+VLOOKUP(B45,cennik!A:G,2,FALSE)</f>
        <v>K-SEVROLL ütközés csillapító 10/18mm 14-25kg J+B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Ütközés tompító (pár) 50 kg</v>
      </c>
      <c r="B46" s="415">
        <v>227187</v>
      </c>
      <c r="C46" s="23" t="str">
        <f>+VLOOKUP(B46,cennik!A:G,2,FALSE)</f>
        <v>K-SEVROLL ütközés csillapító 10/18mm 25-50kg J+B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Összekötő profil H18-3méter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Összekötő profil H25-3méter</v>
      </c>
      <c r="B48" s="447" t="str">
        <f>IFERROR(VLOOKUP(P7,data!C891:D893,2,0),"N/A")</f>
        <v>N/A</v>
      </c>
      <c r="C48" s="23" t="str">
        <f>IF(B48=data!D64,texty!A239,+VLOOKUP(B48,cennik!A:G,2,FALSE))</f>
        <v>ebben a színben és méretben az adott profilt nem gyártjuk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Összekötő csavar</v>
      </c>
      <c r="B49" s="447">
        <v>89244</v>
      </c>
      <c r="C49" s="23" t="str">
        <f>+VLOOKUP(B49,cennik!A:G,2,FALSE)</f>
        <v>SEVROLL20001  csavar 6,3x32 SEVROLL a Simple</v>
      </c>
      <c r="D49" s="354"/>
      <c r="E49" s="86">
        <f>+VLOOKUP(B49,cennik!A:G,3,FALSE)</f>
        <v>61.50817</v>
      </c>
      <c r="F49" s="86">
        <f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Ennek a rendszernek műszaki rajza</v>
      </c>
      <c r="B60" s="479">
        <v>129677</v>
      </c>
      <c r="C60" s="480" t="str">
        <f>VLOOKUP(B60,cennik!A:C,2,0)</f>
        <v>SEVROLL 20173 szerelő eszköz 10 mm-es rétegelt lemezre kicsi</v>
      </c>
      <c r="D60" s="355"/>
      <c r="E60" s="86">
        <f>+VLOOKUP(B60,cennik!A:G,3,FALSE)</f>
        <v>4493.0024999999996</v>
      </c>
      <c r="F60" s="91">
        <f>+CEILING(D60,1)*E60</f>
        <v>0</v>
      </c>
      <c r="G60" s="87">
        <f>+F60</f>
        <v>0</v>
      </c>
      <c r="H60" s="22" t="str">
        <f>cennik!B2</f>
        <v>Ft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fúró fokozatos 6,5/9,5mm</v>
      </c>
      <c r="D61" s="355"/>
      <c r="E61" s="86">
        <f>+VLOOKUP(B61,cennik!A:G,3,FALSE)</f>
        <v>10898.66318</v>
      </c>
      <c r="F61" s="91">
        <f>+CEILING(D61,1)*E61</f>
        <v>0</v>
      </c>
      <c r="G61" s="87">
        <f>+F61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85" t="str">
        <f>IF(SUM(D45:D46)&gt;0,IF(C7&lt;(B4/3),texty!A212,""),"")</f>
        <v/>
      </c>
      <c r="B62" s="685"/>
      <c r="C62" s="685"/>
      <c r="D62" s="685"/>
      <c r="E62" s="685"/>
      <c r="F62" s="685"/>
      <c r="G62" s="685"/>
      <c r="H62" s="685"/>
      <c r="I62" s="68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Összesen áfával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Ft</v>
      </c>
      <c r="I63" s="22"/>
      <c r="J63" s="166"/>
      <c r="K63" s="166"/>
      <c r="L63" s="4" t="str">
        <f>data!J4</f>
        <v>ezüst</v>
      </c>
      <c r="M63" s="19" t="s">
        <v>968</v>
      </c>
    </row>
    <row r="64" spans="1:13" ht="12.75" customHeight="1" x14ac:dyDescent="0.25">
      <c r="A64" s="337" t="str">
        <f>System10!A67</f>
        <v>Az Ön megjegyzése:</v>
      </c>
      <c r="B64" s="690"/>
      <c r="C64" s="691"/>
      <c r="D64" s="691"/>
      <c r="E64" s="691"/>
      <c r="F64" s="691"/>
      <c r="G64" s="692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9" t="str">
        <f>profil!U15</f>
        <v/>
      </c>
      <c r="B65" s="679"/>
      <c r="C65" s="679"/>
      <c r="D65" s="679"/>
      <c r="E65" s="679"/>
      <c r="F65" s="679"/>
      <c r="G65" s="679"/>
      <c r="H65" s="679"/>
      <c r="I65" s="22"/>
      <c r="M65" s="19"/>
    </row>
    <row r="66" spans="1:14" ht="12.75" customHeight="1" x14ac:dyDescent="0.25">
      <c r="A66" s="680" t="str">
        <f>IF(N66=1,texty!A215,IF(K66&gt;0,texty!A214,""))</f>
        <v>egyes tételek nem a kiválasztott hosszúságban készülnek</v>
      </c>
      <c r="B66" s="680"/>
      <c r="C66" s="680"/>
      <c r="D66" s="680"/>
      <c r="E66" s="680"/>
      <c r="F66" s="680"/>
      <c r="G66" s="680"/>
      <c r="H66" s="680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699" t="str">
        <f>texty!A45</f>
        <v>töltsék ki ezt az 5 sort !!! Adatok mm-ben</v>
      </c>
      <c r="C5" s="699"/>
      <c r="D5" s="699"/>
      <c r="E5" s="699"/>
      <c r="F5" s="699"/>
      <c r="G5" s="695"/>
      <c r="H5" s="695"/>
      <c r="I5" s="695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Az ajtószárny max. nagysága  tükörrel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3" t="str">
        <f>IF(SUM(D41:D42)&gt;0,texty!A246,"")</f>
        <v/>
      </c>
      <c r="B15" s="683"/>
      <c r="C15" s="375" t="str">
        <f>texty!A78</f>
        <v>Utólagos levonás a kiszámított magasságból  a betéteknél az elválasztó profilok használatakor</v>
      </c>
      <c r="D15" s="7"/>
      <c r="E15" s="7"/>
      <c r="F15" s="7"/>
      <c r="G15" s="5"/>
      <c r="H15" s="5"/>
      <c r="L15" s="5"/>
    </row>
    <row r="16" spans="1:16" ht="34.5" customHeight="1" x14ac:dyDescent="0.25">
      <c r="A16" s="683"/>
      <c r="B16" s="683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8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8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8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 árengedmény: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Megrendelési kódok, árak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megnevezés</v>
      </c>
      <c r="D26" s="76" t="str">
        <f>+System10!D27</f>
        <v>db</v>
      </c>
      <c r="E26" s="76" t="str">
        <f>+System10!E27</f>
        <v>db ár</v>
      </c>
      <c r="F26" s="16" t="str">
        <f>+System10!F27</f>
        <v>ár összesen</v>
      </c>
      <c r="G26" s="16" t="str">
        <f>+System10!G27</f>
        <v>összesen nettó</v>
      </c>
      <c r="H26" s="16"/>
      <c r="I26" s="16" t="str">
        <f>texty!A29</f>
        <v>Megjegyzés:</v>
      </c>
      <c r="K26" s="16"/>
      <c r="L26" s="16"/>
    </row>
    <row r="27" spans="1:12" ht="12.75" customHeight="1" x14ac:dyDescent="0.25">
      <c r="A27" s="6" t="str">
        <f>texty!A106</f>
        <v>felső profil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Alsó profil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Takaró profil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Felső kocsi</v>
      </c>
      <c r="B30" s="15">
        <v>228023</v>
      </c>
      <c r="C30" s="23" t="str">
        <f>+VLOOKUP(B30,cennik!A3:G984,2,FALSE)</f>
        <v>SEVROLL 10196 Focus felső görgő 18mm 2db</v>
      </c>
      <c r="D30" s="15">
        <f>IF((D43+D44)&gt;D4,0,D4-(D43+D44))</f>
        <v>0</v>
      </c>
      <c r="E30" s="86">
        <f>+VLOOKUP(B30,cennik!A:G,3,FALSE)</f>
        <v>1547.9598100000001</v>
      </c>
      <c r="F30" s="86">
        <f t="shared" si="0"/>
        <v>0</v>
      </c>
      <c r="G30" s="87">
        <f>+F30*(100-G25)/100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Alsó kocsi</v>
      </c>
      <c r="B31" s="15">
        <f>IF(F4=M66,362316,229440)</f>
        <v>229440</v>
      </c>
      <c r="C31" s="23" t="str">
        <f>+VLOOKUP(B31,cennik!A:G,2,FALSE)</f>
        <v>SEVROLL 10198 alsó görgő WD 18C HI-TEC - 2db</v>
      </c>
      <c r="D31" s="15">
        <f>+D4</f>
        <v>0</v>
      </c>
      <c r="E31" s="86">
        <f>+VLOOKUP(B31,cennik!A:G,3,FALSE)</f>
        <v>2060.5293299999998</v>
      </c>
      <c r="F31" s="86">
        <f t="shared" si="0"/>
        <v>0</v>
      </c>
      <c r="G31" s="87">
        <f>+F31*(100-G25)/100</f>
        <v>0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támfalas kefe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Fogantyú profil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Választható tartozékok:</v>
      </c>
      <c r="B35" s="319"/>
      <c r="C35" s="116"/>
      <c r="D35" s="370" t="str">
        <f>System10!D41</f>
        <v>adja be a db számot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Finomállító felső vezetéshez</v>
      </c>
      <c r="B36" s="66">
        <v>298035</v>
      </c>
      <c r="C36" s="475" t="str">
        <f>+VLOOKUP(B36,cennik!A:G,2,FALSE)</f>
        <v>SEVROLL 20326 Fix Fix finomállító felső görgő-höz transzparens</v>
      </c>
      <c r="D36" s="27"/>
      <c r="E36" s="193">
        <f>+VLOOKUP(B36,cennik!A:G,3,FALSE)</f>
        <v>481.81545</v>
      </c>
      <c r="F36" s="99">
        <f>+E36*D36</f>
        <v>0</v>
      </c>
      <c r="G36" s="98">
        <f>+F36*(100-G25)/100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>Finomállító</v>
      </c>
      <c r="B37" s="15">
        <f>IF(F4="Gemini",387424,89063)</f>
        <v>89063</v>
      </c>
      <c r="C37" s="475" t="str">
        <f>+VLOOKUP(B37,cennik!A:G,2,FALSE)</f>
        <v>SEVROLL 20080 finomállító HI-TEC alsó görgőhöz</v>
      </c>
      <c r="D37" s="27"/>
      <c r="E37" s="193">
        <f>+VLOOKUP(B37,cennik!A:G,3,FALSE)</f>
        <v>123.01676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ütközés csillapító MINI 25 kg-ig (pár)</v>
      </c>
      <c r="B38" s="15">
        <v>318662</v>
      </c>
      <c r="C38" s="23" t="str">
        <f>+VLOOKUP(B38,cennik!A:G,2,FALSE)</f>
        <v>SEVROLL 20368-SV ütközés csillapító Mini SV25 (14-25kg)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+F38*(100-G25)/100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ütközés csillapító MINI 40 kg-ig (pár)</v>
      </c>
      <c r="B39" s="22">
        <v>283956</v>
      </c>
      <c r="C39" s="23" t="str">
        <f>+VLOOKUP(B39,cennik!A:G,2,FALSE)</f>
        <v>SEVROLL 20258-SV ütközés csillapító  Mini SV40 (25 - 40kg)</v>
      </c>
      <c r="D39" s="278"/>
      <c r="E39" s="86">
        <f>+VLOOKUP(B39,cennik!A:G,3,FALSE)</f>
        <v>9041.7265599999992</v>
      </c>
      <c r="F39" s="91">
        <f>+CEILING(D39,1)*E39</f>
        <v>0</v>
      </c>
      <c r="G39" s="98">
        <f>+F39*(100-G25)/100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ütközés csillapító MINI 60 kg-ig (pár)</v>
      </c>
      <c r="B40" s="22">
        <v>351743</v>
      </c>
      <c r="C40" s="23" t="str">
        <f>+VLOOKUP(B40,cennik!A:G,2,FALSE)</f>
        <v>SEVROLL 20339-SV ütközés csillapító Mini SV60 (40 - 60kg)</v>
      </c>
      <c r="D40" s="278"/>
      <c r="E40" s="86">
        <f>+VLOOKUP(B40,cennik!A:G,3,FALSE)</f>
        <v>9041.7265599999992</v>
      </c>
      <c r="F40" s="91">
        <f>+CEILING(D40,1)*E40</f>
        <v>0</v>
      </c>
      <c r="G40" s="98">
        <f>+F40*(100-G25)/100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csillapító a középső szárnyra 25 kg-ig</v>
      </c>
      <c r="B41" s="22">
        <v>318663</v>
      </c>
      <c r="C41" s="23" t="str">
        <f>+VLOOKUP(B41,cennik!A:G,2,FALSE)</f>
        <v>SEVROLL 20363-SV csillapító Central 10/18mm kétoldalú 25kg</v>
      </c>
      <c r="D41" s="278"/>
      <c r="E41" s="86">
        <f>+VLOOKUP(B41,cennik!A:G,3,FALSE)</f>
        <v>19364.876939999998</v>
      </c>
      <c r="F41" s="91">
        <f>+CEILING(D41,1)*E41</f>
        <v>0</v>
      </c>
      <c r="G41" s="98">
        <f>+F41*(100-G25)/100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csillapító a középső szárnyra 40 kg-ig</v>
      </c>
      <c r="B42" s="22">
        <v>283955</v>
      </c>
      <c r="C42" s="23" t="str">
        <f>+VLOOKUP(B42,cennik!A:G,2,FALSE)</f>
        <v>SEVROLL20319-SV  csillapító Central 10 / 18mm kétoldalas 25-40kg</v>
      </c>
      <c r="D42" s="278"/>
      <c r="E42" s="86">
        <f>+VLOOKUP(B42,cennik!A:G,3,FALSE)</f>
        <v>19364.876939999998</v>
      </c>
      <c r="F42" s="91">
        <f>+CEILING(D42,1)*E42</f>
        <v>0</v>
      </c>
      <c r="G42" s="98">
        <f>+F42*(100-G25)/100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Ütközés tompító (pár) 25 kg</v>
      </c>
      <c r="B43" s="22">
        <v>227185</v>
      </c>
      <c r="C43" s="475" t="str">
        <f>+VLOOKUP(B43,cennik!A:G,2,FALSE)</f>
        <v>K-SEVROLL ütközés csillapító 10/18mm 14-25kg J+B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Ütközés tompító (pár) 50 kg</v>
      </c>
      <c r="B44" s="22">
        <v>227187</v>
      </c>
      <c r="C44" s="475" t="str">
        <f>+VLOOKUP(B44,cennik!A:G,2,FALSE)</f>
        <v>K-SEVROLL ütközés csillapító 10/18mm 25-50kg J+B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Klipsz támfalas kefére</v>
      </c>
      <c r="B45" s="15">
        <v>223569</v>
      </c>
      <c r="C45" s="475" t="str">
        <f>+VLOOKUP(B45,cennik!A:G,2,FALSE)</f>
        <v>SEVROLL 20223 kapocs támfalas keféhez</v>
      </c>
      <c r="D45" s="27"/>
      <c r="E45" s="193">
        <f>+VLOOKUP(B45,cennik!A:G,3,FALSE)</f>
        <v>30.754100000000001</v>
      </c>
      <c r="F45" s="99">
        <f t="shared" si="1"/>
        <v>0</v>
      </c>
      <c r="G45" s="98">
        <f>+F45*(100-G25)/100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Összekötő profil H18- 3 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összekötő T-profil 3 m / vájattal /</v>
      </c>
      <c r="B47" s="15" t="str">
        <f>IFERROR(VLOOKUP(P7,data!C589:D598,2,0),"N/A")</f>
        <v>N/A</v>
      </c>
      <c r="C47" s="475" t="str">
        <f>IF(B47=data!D64,texty!A239,+VLOOKUP(B47,cennik!A:G,2,FALSE))</f>
        <v>ebben a színben és méretben az adott profilt nem gyártjuk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összekötő T-profil 3 m / peremmel /</v>
      </c>
      <c r="B48" s="15" t="str">
        <f>IFERROR(VLOOKUP(P7,data!C599:D608,2,0),"N/A")</f>
        <v>N/A</v>
      </c>
      <c r="C48" s="475" t="str">
        <f>IF(B48=data!D64,texty!A239,+VLOOKUP(B48,cennik!A:G,2,FALSE))</f>
        <v>ebben a színben és méretben az adott profilt nem gyártjuk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FFL-ra 18 mm-3 m / sima 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FFL-ra 18 mm-3 m / peremmel /</v>
      </c>
      <c r="B50" s="15" t="str">
        <f>IFERROR(VLOOKUP(P7,data!C620:D629,2,0),"N/A")</f>
        <v>N/A</v>
      </c>
      <c r="C50" s="475" t="str">
        <f>IF(B50=data!D64,texty!A239,+VLOOKUP(B50,cennik!A:G,2,FALSE))</f>
        <v>ebben a színben és méretben az adott profilt nem gyártjuk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Sarok elem mini 11x17mm - 1,7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Sarok elem mini 11x17mm - 2,35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Sarok elem  mini11x17mm - 3,00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Sarok elem K2 t19x18mm - 1,7 m</v>
      </c>
      <c r="B54" s="22" t="str">
        <f>IFERROR(VLOOKUP(P7,data!C666:D675,2,0),"N/A")</f>
        <v>N/A</v>
      </c>
      <c r="C54" s="475" t="str">
        <f>IF(B54=data!D64,texty!A239,+VLOOKUP(B54,cennik!A:G,2,FALSE))</f>
        <v>ebben a színben és méretben az adott profilt nem gyártjuk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Sarok elem K2 19x18mm - 2,35 m</v>
      </c>
      <c r="B55" s="15" t="str">
        <f>IFERROR(VLOOKUP(P7,data!C676:D685,2,0),"N/A")</f>
        <v>N/A</v>
      </c>
      <c r="C55" s="475" t="str">
        <f>IF(B55=data!D64,texty!A239,+VLOOKUP(B55,cennik!A:G,2,FALSE))</f>
        <v>ebben a színben és méretben az adott profilt nem gyártjuk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Sarok elem K2 19x18mm - 3,00 m</v>
      </c>
      <c r="B56" s="15" t="str">
        <f>IFERROR(VLOOKUP(P7,data!C686:D695,2,0),"N/A")</f>
        <v>N/A</v>
      </c>
      <c r="C56" s="475" t="str">
        <f>IF(B56=data!D64,texty!A239,+VLOOKUP(B56,cennik!A:G,2,FALSE))</f>
        <v>ebben a színben és méretben az adott profilt nem gyártjuk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ek a 16mm hézak kitöltéséhez</v>
      </c>
      <c r="B57" s="15">
        <v>308631</v>
      </c>
      <c r="C57" s="475" t="str">
        <f>+VLOOKUP(B57,cennik!A:G,2,FALSE)</f>
        <v>SEVROLL 20252  ék rétegelt lemezhez vastagság 2mm (100 db)</v>
      </c>
      <c r="D57" s="27"/>
      <c r="E57" s="193">
        <f>+VLOOKUP(B57,cennik!A:G,3,FALSE)</f>
        <v>3385.3154599999998</v>
      </c>
      <c r="F57" s="99">
        <f>+E57*D57</f>
        <v>0</v>
      </c>
      <c r="G57" s="98">
        <f>+F57*(100-G25)/100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tolóajtó zár</v>
      </c>
      <c r="B58" s="22">
        <v>216363</v>
      </c>
      <c r="C58" s="475" t="str">
        <f>+VLOOKUP(B58,cennik!A:G,2,FALSE)</f>
        <v>SEVROLL 20356 tolóajtó zár 10/18mm</v>
      </c>
      <c r="D58" s="27"/>
      <c r="E58" s="193">
        <f>+VLOOKUP(B58,cennik!A:G,3,FALSE)</f>
        <v>6243.0970299999999</v>
      </c>
      <c r="F58" s="99">
        <f t="shared" si="1"/>
        <v>0</v>
      </c>
      <c r="G58" s="98">
        <f>+F58*(100-G25)/100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Porkefe (méterek) becsúsztatható</v>
      </c>
      <c r="B59" s="22">
        <v>308639</v>
      </c>
      <c r="C59" s="23" t="str">
        <f>+VLOOKUP(B59,cennik!A:G,2,FALSE)</f>
        <v>SEVROLL porfogó kefe öntapadó 6,7x13mm szürke</v>
      </c>
      <c r="D59" s="27"/>
      <c r="E59" s="193">
        <f>+VLOOKUP(B59,cennik!A:G,3,FALSE)</f>
        <v>149.22027</v>
      </c>
      <c r="F59" s="99">
        <f t="shared" si="1"/>
        <v>0</v>
      </c>
      <c r="G59" s="98">
        <f>+F59*(100-G25)/100</f>
        <v>0</v>
      </c>
      <c r="H59" s="5" t="str">
        <f>cennik!B2</f>
        <v>Ft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Ennek a rendszernek műszaki rajza</v>
      </c>
      <c r="C62" s="68"/>
      <c r="D62" s="44" t="str">
        <f>texty!A15</f>
        <v>Összesen áfával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Ft</v>
      </c>
      <c r="I62" s="166"/>
      <c r="K62" s="166"/>
      <c r="L62" s="5"/>
    </row>
    <row r="63" spans="1:12" ht="12.75" customHeight="1" x14ac:dyDescent="0.25">
      <c r="A63" s="70" t="str">
        <f>System10!A67</f>
        <v>Az Ön megjegyzése:</v>
      </c>
      <c r="B63" s="712"/>
      <c r="C63" s="713"/>
      <c r="D63" s="713"/>
      <c r="E63" s="713"/>
      <c r="F63" s="713"/>
      <c r="G63" s="714"/>
      <c r="H63" s="5"/>
      <c r="L63" s="5"/>
    </row>
    <row r="64" spans="1:12" ht="12.75" customHeight="1" x14ac:dyDescent="0.25">
      <c r="A64" s="711" t="str">
        <f>profil!U15</f>
        <v/>
      </c>
      <c r="B64" s="697"/>
      <c r="C64" s="697"/>
      <c r="D64" s="697"/>
      <c r="E64" s="697"/>
      <c r="F64" s="697"/>
      <c r="G64" s="697"/>
      <c r="H64" s="697"/>
      <c r="L64" s="5"/>
    </row>
    <row r="65" spans="1:14" ht="12.75" customHeight="1" x14ac:dyDescent="0.25">
      <c r="A65" s="698" t="str">
        <f>IF(N65=1,texty!A215,IF(K65&gt;0,texty!A214,""))</f>
        <v>egyes tételek nem a kiválasztott hosszúságban készülnek</v>
      </c>
      <c r="B65" s="698"/>
      <c r="C65" s="698"/>
      <c r="D65" s="698"/>
      <c r="E65" s="698"/>
      <c r="F65" s="698"/>
      <c r="G65" s="698"/>
      <c r="H65" s="698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ezüst</v>
      </c>
      <c r="M66" s="19" t="s">
        <v>968</v>
      </c>
    </row>
    <row r="67" spans="1:14" ht="12.75" hidden="1" customHeight="1" x14ac:dyDescent="0.25">
      <c r="L67" s="4" t="str">
        <f>data!J5</f>
        <v>arany/sárgaréz</v>
      </c>
      <c r="M67" s="19" t="s">
        <v>42</v>
      </c>
    </row>
    <row r="68" spans="1:14" ht="12.75" hidden="1" customHeight="1" x14ac:dyDescent="0.25">
      <c r="L68" s="4" t="str">
        <f>data!J6</f>
        <v>oliva</v>
      </c>
    </row>
    <row r="69" spans="1:14" ht="12.75" hidden="1" customHeight="1" x14ac:dyDescent="0.25">
      <c r="L69" s="4" t="str">
        <f>data!J15</f>
        <v>fehér fényes</v>
      </c>
    </row>
    <row r="70" spans="1:14" ht="12.75" hidden="1" customHeight="1" x14ac:dyDescent="0.25">
      <c r="L70" s="4" t="str">
        <f>data!J18</f>
        <v>matt fehér</v>
      </c>
    </row>
    <row r="71" spans="1:14" ht="12.75" hidden="1" customHeight="1" x14ac:dyDescent="0.25">
      <c r="L71" s="4" t="str">
        <f>data!J16</f>
        <v>fényes fekete</v>
      </c>
    </row>
    <row r="72" spans="1:14" ht="12.75" hidden="1" customHeight="1" x14ac:dyDescent="0.25">
      <c r="L72" s="4" t="str">
        <f>data!J17</f>
        <v>matt feket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fekete szerkezeti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5.5" customHeight="1" x14ac:dyDescent="0.25">
      <c r="A4" s="9" t="str">
        <f>texty!A70</f>
        <v>A SZEKRÉNY BELSŐ MÉRETE</v>
      </c>
      <c r="B4" s="52"/>
      <c r="C4" s="52"/>
      <c r="D4" s="20"/>
      <c r="E4" s="194"/>
      <c r="F4" s="353"/>
      <c r="G4" s="695"/>
      <c r="H4" s="695"/>
      <c r="I4" s="695"/>
      <c r="K4" s="173"/>
      <c r="L4" s="7"/>
      <c r="M4" s="15"/>
      <c r="N4" s="19"/>
      <c r="O4" s="15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7"/>
      <c r="G5" s="695"/>
      <c r="H5" s="695"/>
      <c r="I5" s="695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3" t="str">
        <f>IF(SUM(D40:D41)&gt;0,texty!A246,"")</f>
        <v/>
      </c>
      <c r="B13" s="683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3"/>
      <c r="B14" s="683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8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8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87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 árengedmény:</v>
      </c>
      <c r="H23" s="5"/>
      <c r="L23" s="5"/>
    </row>
    <row r="24" spans="1:12" ht="12.75" customHeight="1" x14ac:dyDescent="0.25">
      <c r="A24" s="123" t="str">
        <f>texty!A80</f>
        <v>Megrendelési kódok, árak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megnevezés</v>
      </c>
      <c r="D25" s="76" t="str">
        <f>+System10!D27</f>
        <v>db</v>
      </c>
      <c r="E25" s="76" t="str">
        <f>+System10!E27</f>
        <v>db ár</v>
      </c>
      <c r="F25" s="16" t="str">
        <f>+System10!F27</f>
        <v>ár összesen</v>
      </c>
      <c r="G25" s="16" t="str">
        <f>+System10!G27</f>
        <v>összesen nettó</v>
      </c>
      <c r="H25" s="16"/>
      <c r="I25" s="16" t="str">
        <f>texty!A29</f>
        <v>Megjegyzés:</v>
      </c>
      <c r="K25" s="16"/>
      <c r="L25" s="16"/>
    </row>
    <row r="26" spans="1:12" ht="12.75" customHeight="1" x14ac:dyDescent="0.25">
      <c r="A26" s="6" t="str">
        <f>texty!A106</f>
        <v>felső profil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Alsó profil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Takaró profil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Ft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Felső kocsi</v>
      </c>
      <c r="B29" s="15">
        <v>228023</v>
      </c>
      <c r="C29" s="34" t="str">
        <f>+VLOOKUP(B29,cennik!A:G,2,FALSE)</f>
        <v>SEVROLL 10196 Focus felső görgő 18mm 2db</v>
      </c>
      <c r="D29" s="15">
        <f>IF((D42+D43)&gt;D4,0,D4-(D42+D43))</f>
        <v>0</v>
      </c>
      <c r="E29" s="193">
        <f>+VLOOKUP(B29,cennik!A:G,3,FALSE)</f>
        <v>1547.9598100000001</v>
      </c>
      <c r="F29" s="99">
        <f t="shared" si="0"/>
        <v>0</v>
      </c>
      <c r="G29" s="98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Alsó kocsi</v>
      </c>
      <c r="B30" s="15">
        <f>IF(F4=M65,362316,229440)</f>
        <v>229440</v>
      </c>
      <c r="C30" s="23" t="str">
        <f>+VLOOKUP(B30,cennik!A:G,2,FALSE)</f>
        <v>SEVROLL 10198 alsó görgő WD 18C HI-TEC - 2db</v>
      </c>
      <c r="D30" s="15">
        <f>+D4</f>
        <v>0</v>
      </c>
      <c r="E30" s="193">
        <f>+VLOOKUP(B30,cennik!A:G,3,FALSE)</f>
        <v>2060.5293299999998</v>
      </c>
      <c r="F30" s="99">
        <f t="shared" si="0"/>
        <v>0</v>
      </c>
      <c r="G30" s="98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támfalas kefe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Fogantyú profil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Választható tartozékok:</v>
      </c>
      <c r="B34" s="319"/>
      <c r="C34" s="116"/>
      <c r="D34" s="370" t="str">
        <f>System10!D41</f>
        <v>adja be a db számot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Finomállító felső vezetéshez</v>
      </c>
      <c r="B35" s="66">
        <v>298035</v>
      </c>
      <c r="C35" s="34" t="str">
        <f>+VLOOKUP(B35,cennik!A:G,2,FALSE)</f>
        <v>SEVROLL 20326 Fix Fix finomállító felső görgő-höz transzparens</v>
      </c>
      <c r="D35" s="27"/>
      <c r="E35" s="193">
        <f>+VLOOKUP(B35,cennik!A:G,3,FALSE)</f>
        <v>481.81545</v>
      </c>
      <c r="F35" s="99">
        <f>+E35*D35</f>
        <v>0</v>
      </c>
      <c r="G35" s="98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>Finomállító</v>
      </c>
      <c r="B36" s="15">
        <f>IF(F4="Gemini",387424,89063)</f>
        <v>89063</v>
      </c>
      <c r="C36" s="34" t="str">
        <f>+VLOOKUP(B36,cennik!A:G,2,FALSE)</f>
        <v>SEVROLL 20080 finomállító HI-TEC alsó görgőhöz</v>
      </c>
      <c r="D36" s="27"/>
      <c r="E36" s="193">
        <f>+VLOOKUP(B36,cennik!A:G,3,FALSE)</f>
        <v>123.01676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ütközés csillapító MINI 25 kg-ig (pár)</v>
      </c>
      <c r="B37" s="15">
        <v>318662</v>
      </c>
      <c r="C37" s="23" t="str">
        <f>+VLOOKUP(B37,cennik!A:G,2,FALSE)</f>
        <v>SEVROLL 20368-SV ütközés csillapító Mini SV25 (14-25kg)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+F37*(100-G24)/100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ütközés csillapító MINI 40 kg-ig (pár)</v>
      </c>
      <c r="B38" s="22">
        <v>283956</v>
      </c>
      <c r="C38" s="23" t="str">
        <f>+VLOOKUP(B38,cennik!A:G,2,FALSE)</f>
        <v>SEVROLL 20258-SV ütközés csillapító  Mini SV40 (25 - 40kg)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+F38*(100-G24)/100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ütközés csillapító MINI 60 kg-ig (pár)</v>
      </c>
      <c r="B39" s="22">
        <v>351743</v>
      </c>
      <c r="C39" s="23" t="str">
        <f>+VLOOKUP(B39,cennik!A:G,2,FALSE)</f>
        <v>SEVROLL 20339-SV ütközés csillapító Mini SV60 (40 - 60kg)</v>
      </c>
      <c r="D39" s="278"/>
      <c r="E39" s="86">
        <f>+VLOOKUP(B39,cennik!A:G,3,FALSE)</f>
        <v>9041.7265599999992</v>
      </c>
      <c r="F39" s="91">
        <f>+CEILING(D39,1)*E39</f>
        <v>0</v>
      </c>
      <c r="G39" s="98">
        <f>+F39*(100-G24)/100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csillapító a középső szárnyra 25 kg-ig</v>
      </c>
      <c r="B40" s="22">
        <v>318663</v>
      </c>
      <c r="C40" s="23" t="str">
        <f>+VLOOKUP(B40,cennik!A:G,2,FALSE)</f>
        <v>SEVROLL 20363-SV csillapító Central 10/18mm kétoldalú 25kg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+F40*(100-G24)/100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csillapító a középső szárnyra 40 kg-ig</v>
      </c>
      <c r="B41" s="22">
        <v>283955</v>
      </c>
      <c r="C41" s="23" t="str">
        <f>+VLOOKUP(B41,cennik!A:G,2,FALSE)</f>
        <v>SEVROLL20319-SV  csillapító Central 10 / 18mm kétoldalas 25-40kg</v>
      </c>
      <c r="D41" s="278"/>
      <c r="E41" s="86">
        <f>+VLOOKUP(B41,cennik!A:G,3,FALSE)</f>
        <v>19364.876939999998</v>
      </c>
      <c r="F41" s="91">
        <f>+CEILING(D41,1)*E41</f>
        <v>0</v>
      </c>
      <c r="G41" s="98">
        <f>+F41*(100-G24)/100</f>
        <v>0</v>
      </c>
      <c r="H41" s="22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Ütközés tompító (pár) 25 kg</v>
      </c>
      <c r="B42" s="22">
        <v>227185</v>
      </c>
      <c r="C42" s="34" t="str">
        <f>+VLOOKUP(B42,cennik!A:G,2,FALSE)</f>
        <v>K-SEVROLL ütközés csillapító 10/18mm 14-25kg J+B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Ütközés tompító (pár) 50 kg</v>
      </c>
      <c r="B43" s="22">
        <v>227187</v>
      </c>
      <c r="C43" s="34" t="str">
        <f>+VLOOKUP(B43,cennik!A:G,2,FALSE)</f>
        <v>K-SEVROLL ütközés csillapító 10/18mm 25-50kg J+B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Klipsz támfalas kefére</v>
      </c>
      <c r="B44" s="15">
        <v>223569</v>
      </c>
      <c r="C44" s="34" t="str">
        <f>+VLOOKUP(B44,cennik!A:G,2,FALSE)</f>
        <v>SEVROLL 20223 kapocs támfalas keféhez</v>
      </c>
      <c r="D44" s="27"/>
      <c r="E44" s="193">
        <f>+VLOOKUP(B44,cennik!A:G,3,FALSE)</f>
        <v>30.754100000000001</v>
      </c>
      <c r="F44" s="99">
        <f t="shared" si="1"/>
        <v>0</v>
      </c>
      <c r="G44" s="98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Összekötő profil H18- 3 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összekötő T-profil 3 m / vájattal 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összekötő T-profil 3 m / peremmel 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FFL-ra 18 mm-3 m / sima 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FFL-ra 18 mm-3 m / peremmel 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Sarok elem mini 11x17mm - 1,7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Sarok elem mini 11x17mm - 2,35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Sarok elem  mini11x17mm - 3,00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Sarok elem K2 t19x18mm - 1,7 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Sarok elem K2 19x18mm - 2,35 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Sarok elem K2 19x18mm - 3,00 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ek a 16mm hézak kitöltéséhez</v>
      </c>
      <c r="B56" s="15">
        <v>308631</v>
      </c>
      <c r="C56" s="34" t="str">
        <f>+VLOOKUP(B56,cennik!A:G,2,FALSE)</f>
        <v>SEVROLL 20252  ék rétegelt lemezhez vastagság 2mm (100 db)</v>
      </c>
      <c r="D56" s="27"/>
      <c r="E56" s="193">
        <f>+VLOOKUP(B56,cennik!A:G,3,FALSE)</f>
        <v>3385.3154599999998</v>
      </c>
      <c r="F56" s="99">
        <f t="shared" si="1"/>
        <v>0</v>
      </c>
      <c r="G56" s="98">
        <f>+F56*(100-G24)/100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tolóajtó zár</v>
      </c>
      <c r="B57" s="22">
        <v>216363</v>
      </c>
      <c r="C57" s="34" t="str">
        <f>+VLOOKUP(B57,cennik!A:G,2,FALSE)</f>
        <v>SEVROLL 20356 tolóajtó zár 10/18mm</v>
      </c>
      <c r="D57" s="27"/>
      <c r="E57" s="193">
        <f>+VLOOKUP(B57,cennik!A:G,3,FALSE)</f>
        <v>6243.0970299999999</v>
      </c>
      <c r="F57" s="99">
        <f t="shared" si="1"/>
        <v>0</v>
      </c>
      <c r="G57" s="98">
        <f>+F57*(100-G24)/100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Porkefe (méterek) becsúsztatható</v>
      </c>
      <c r="B58" s="22">
        <v>308639</v>
      </c>
      <c r="C58" s="23" t="str">
        <f>+VLOOKUP(B58,cennik!A:G,2,FALSE)</f>
        <v>SEVROLL porfogó kefe öntapadó 6,7x13mm szürke</v>
      </c>
      <c r="D58" s="27"/>
      <c r="E58" s="193">
        <f>+VLOOKUP(B58,cennik!A:G,3,FALSE)</f>
        <v>149.22027</v>
      </c>
      <c r="F58" s="99">
        <f t="shared" si="1"/>
        <v>0</v>
      </c>
      <c r="G58" s="98">
        <f>+F58*(100-G24)/100</f>
        <v>0</v>
      </c>
      <c r="H58" s="5" t="str">
        <f>cennik!B2</f>
        <v>Ft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További tartozékok tolóajtó rendszerekhez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Ennek a rendszernek műszaki rajza</v>
      </c>
      <c r="C61" s="68"/>
      <c r="D61" s="44" t="str">
        <f>texty!A15</f>
        <v>Összesen áfával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Ft</v>
      </c>
      <c r="I61" s="166"/>
      <c r="K61" s="166"/>
      <c r="L61" s="5"/>
    </row>
    <row r="62" spans="1:14" ht="35.25" customHeight="1" x14ac:dyDescent="0.25">
      <c r="A62" s="70" t="str">
        <f>System10!A67</f>
        <v>Az Ön megjegyzése:</v>
      </c>
      <c r="B62" s="712"/>
      <c r="C62" s="713"/>
      <c r="D62" s="713"/>
      <c r="E62" s="713"/>
      <c r="F62" s="713"/>
      <c r="G62" s="714"/>
      <c r="H62" s="5"/>
      <c r="L62" s="5"/>
    </row>
    <row r="63" spans="1:14" ht="12.75" customHeight="1" x14ac:dyDescent="0.25">
      <c r="A63" s="711" t="str">
        <f>profil!U15</f>
        <v/>
      </c>
      <c r="B63" s="697"/>
      <c r="C63" s="697"/>
      <c r="D63" s="697"/>
      <c r="E63" s="697"/>
      <c r="F63" s="697"/>
      <c r="G63" s="697"/>
      <c r="H63" s="697"/>
      <c r="L63" s="5"/>
    </row>
    <row r="64" spans="1:14" ht="12.75" hidden="1" customHeight="1" x14ac:dyDescent="0.25">
      <c r="A64" s="698" t="str">
        <f>IF(N64=1,texty!A215,IF(J64&gt;0,texty!A214,""))</f>
        <v/>
      </c>
      <c r="B64" s="698"/>
      <c r="C64" s="698"/>
      <c r="D64" s="698"/>
      <c r="E64" s="698"/>
      <c r="F64" s="698"/>
      <c r="G64" s="698"/>
      <c r="H64" s="698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ezüst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fehér fényes</v>
      </c>
    </row>
    <row r="68" spans="11:13" ht="12.75" hidden="1" customHeight="1" x14ac:dyDescent="0.25">
      <c r="L68" s="4" t="str">
        <f>data!J18</f>
        <v>matt fehér</v>
      </c>
    </row>
    <row r="69" spans="11:13" ht="12.75" hidden="1" customHeight="1" x14ac:dyDescent="0.25">
      <c r="L69" s="4" t="str">
        <f>data!J17</f>
        <v>matt feket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385"/>
      <c r="D12" s="7"/>
      <c r="E12" s="7"/>
      <c r="F12" s="7"/>
      <c r="H12" s="36"/>
      <c r="L12" s="5"/>
    </row>
    <row r="13" spans="1:16" ht="26.4" x14ac:dyDescent="0.25">
      <c r="A13" s="683" t="str">
        <f>IF(SUM(D39:D40)&gt;0,texty!A246,"")</f>
        <v/>
      </c>
      <c r="B13" s="683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3"/>
      <c r="B14" s="683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8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s="121" customFormat="1" ht="12.75" customHeight="1" x14ac:dyDescent="0.25">
      <c r="A23" s="123" t="str">
        <f>texty!A80</f>
        <v>Megrendelési kódok, árak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db</v>
      </c>
      <c r="E24" s="76" t="str">
        <f>Faworyt!E25</f>
        <v>db ár</v>
      </c>
      <c r="F24" s="16" t="str">
        <f>Faworyt!F25</f>
        <v>ár összesen</v>
      </c>
      <c r="G24" s="16" t="str">
        <f>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Alsó profil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Takaró profil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5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99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5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99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5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99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Választható tartozékok:</v>
      </c>
      <c r="B33" s="319"/>
      <c r="C33" s="116"/>
      <c r="D33" s="370" t="str">
        <f>+Faworyt!D34</f>
        <v>adja be a db számot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>Finomállító</v>
      </c>
      <c r="B35" s="15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ütközés csillapító MINI 25 kg-ig (pár)</v>
      </c>
      <c r="B36" s="15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ütközés csillapító MINI 40 kg-ig (pár)</v>
      </c>
      <c r="B37" s="15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ütközés csillapító MINI 60 kg-ig (pár)</v>
      </c>
      <c r="B38" s="15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csillapító a középső szárnyra 25 kg-ig</v>
      </c>
      <c r="B39" s="15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csillapító a középső szárnyra 40 kg-ig</v>
      </c>
      <c r="B40" s="15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Ütközés tompító (pár) 25 kg</v>
      </c>
      <c r="B41" s="15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Ütközés tompító (pár) 50 kg</v>
      </c>
      <c r="B42" s="15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Klipsz támfalas kefére</v>
      </c>
      <c r="B43" s="15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Összekötő profil H18- 3 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összekötő T-profil 3 m / vájattal 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összekötő T-profil 3 m / peremmel 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FFL-ra 18 mm-3 m / sima 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FFL-ra 18 mm-3 m / peremmel 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Sarok elem mini 11x17mm - 1,7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Sarok elem mini 11x17mm - 2,35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Sarok elem K2 t19x18mm - 1,7 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15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tolóajtó zár</v>
      </c>
      <c r="B56" s="15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Porkefe (méterek) becsúsztatható</v>
      </c>
      <c r="B57" s="15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Ennek a rendszernek műszaki rajza</v>
      </c>
      <c r="B60" s="15"/>
      <c r="C60" s="23"/>
      <c r="D60" s="72" t="str">
        <f>+Faworyt!D61</f>
        <v>Összesen áfával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Ft</v>
      </c>
      <c r="J60" s="166"/>
      <c r="K60" s="166"/>
      <c r="L60" s="5"/>
    </row>
    <row r="61" spans="1:14" ht="12.75" customHeight="1" x14ac:dyDescent="0.25">
      <c r="A61" s="70" t="str">
        <f>System10!A67</f>
        <v>Az Ön megjegyzése:</v>
      </c>
      <c r="B61" s="712"/>
      <c r="C61" s="713"/>
      <c r="D61" s="713"/>
      <c r="E61" s="713"/>
      <c r="F61" s="713"/>
      <c r="G61" s="713"/>
      <c r="H61" s="5"/>
      <c r="L61" s="5"/>
    </row>
    <row r="62" spans="1:14" ht="12.75" customHeight="1" x14ac:dyDescent="0.25">
      <c r="A62" s="711" t="str">
        <f>profil!U15</f>
        <v/>
      </c>
      <c r="B62" s="697"/>
      <c r="C62" s="697"/>
      <c r="D62" s="697"/>
      <c r="E62" s="697"/>
      <c r="F62" s="697"/>
      <c r="G62" s="697"/>
      <c r="H62" s="697"/>
    </row>
    <row r="63" spans="1:14" ht="12.75" customHeight="1" x14ac:dyDescent="0.25">
      <c r="A63" s="698" t="str">
        <f>IF(N63=1,texty!A215,IF(K63&gt;0,texty!A214,""))</f>
        <v>egyes tételek nem a kiválasztott hosszúságban készülnek</v>
      </c>
      <c r="B63" s="698"/>
      <c r="C63" s="698"/>
      <c r="D63" s="698"/>
      <c r="E63" s="698"/>
      <c r="F63" s="698"/>
      <c r="G63" s="698"/>
      <c r="H63" s="698"/>
      <c r="K63" s="5" t="e">
        <f>SUM(K25:K57)</f>
        <v>#N/A</v>
      </c>
      <c r="L63" s="4" t="str">
        <f>texty!A128</f>
        <v>ezüst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3" t="str">
        <f>IF(SUM(D39:D40)&gt;0,texty!A246,"")</f>
        <v/>
      </c>
      <c r="B13" s="683"/>
      <c r="C13" s="384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5"/>
    </row>
    <row r="14" spans="1:16" ht="33" customHeight="1" x14ac:dyDescent="0.25">
      <c r="A14" s="683"/>
      <c r="B14" s="683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7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76" t="str">
        <f>+Faworyt!F25</f>
        <v>ár összesen</v>
      </c>
      <c r="G24" s="78" t="str">
        <f>+Faworyt!G25</f>
        <v>összesen nettó</v>
      </c>
      <c r="H24" s="79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Ft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Ft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Takaró profil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Ft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5">
        <v>228023</v>
      </c>
      <c r="C28" s="475" t="str">
        <f>+VLOOKUP(B28,cennik!$A:$G,2,FALSE)</f>
        <v>SEVROLL 10196 Focus felső görgő 18mm 2db</v>
      </c>
      <c r="D28" s="15">
        <f>IF((D41+D42)&gt;D4,0,D4-(D41+D42))</f>
        <v>0</v>
      </c>
      <c r="E28" s="193">
        <f>+VLOOKUP(B28,cennik!$A:$G,3,FALSE)</f>
        <v>1547.9598100000001</v>
      </c>
      <c r="F28" s="86">
        <f t="shared" si="0"/>
        <v>0</v>
      </c>
      <c r="G28" s="87">
        <f t="shared" si="1"/>
        <v>0</v>
      </c>
      <c r="H28" s="5" t="str">
        <f>cennik!$B$2</f>
        <v>Ft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5">
        <f>IF(F4=M61,362316,229440)</f>
        <v>229440</v>
      </c>
      <c r="C29" s="23" t="str">
        <f>+VLOOKUP(B29,cennik!$A:$G,2,FALSE)</f>
        <v>SEVROLL 10198 alsó görgő WD 18C HI-TEC - 2db</v>
      </c>
      <c r="D29" s="15">
        <f>+D4</f>
        <v>0</v>
      </c>
      <c r="E29" s="193">
        <f>+VLOOKUP(B29,cennik!$A:$G,3,FALSE)</f>
        <v>2060.5293299999998</v>
      </c>
      <c r="F29" s="86">
        <f t="shared" si="0"/>
        <v>0</v>
      </c>
      <c r="G29" s="87">
        <f t="shared" si="1"/>
        <v>0</v>
      </c>
      <c r="H29" s="5" t="str">
        <f>cennik!$B$2</f>
        <v>Ft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5">
        <v>229433</v>
      </c>
      <c r="C30" s="475" t="str">
        <f>+VLOOKUP(B30,cennik!$A:$G,2,FALSE)</f>
        <v>SEVROLL támfalas kefe becsúsztatható 4,8x4mm szürke</v>
      </c>
      <c r="D30" s="15">
        <f>CEILING((B4*D4*2/1000),1)</f>
        <v>0</v>
      </c>
      <c r="E30" s="193">
        <f>+VLOOKUP(B30,cennik!$A:$G,3,FALSE)</f>
        <v>35.639870000000002</v>
      </c>
      <c r="F30" s="86">
        <f t="shared" si="0"/>
        <v>0</v>
      </c>
      <c r="G30" s="87">
        <f t="shared" si="1"/>
        <v>0</v>
      </c>
      <c r="H30" s="5" t="str">
        <f>cennik!$B$2</f>
        <v>Ft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Ft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Választható tartozékok:</v>
      </c>
      <c r="B33" s="113"/>
      <c r="C33" s="115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Finomállító felső vezetéshez</v>
      </c>
      <c r="B34" s="66">
        <v>298035</v>
      </c>
      <c r="C34" s="475" t="str">
        <f>+VLOOKUP(B34,cennik!$A:$G,2,FALSE)</f>
        <v>SEVROLL 20326 Fix Fix finomállító felső görgő-höz transzparens</v>
      </c>
      <c r="D34" s="27"/>
      <c r="E34" s="193">
        <f>+VLOOKUP(B34,cennik!$A:$G,3,FALSE)</f>
        <v>481.81545</v>
      </c>
      <c r="F34" s="99">
        <f>+E34*D34</f>
        <v>0</v>
      </c>
      <c r="G34" s="98">
        <f>+F34*(100-$G$23)/100</f>
        <v>0</v>
      </c>
      <c r="H34" s="5" t="str">
        <f>cennik!$B$2</f>
        <v>Ft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>Finomállító</v>
      </c>
      <c r="B35" s="15">
        <f>IF(F4="Gemini",387424,89063)</f>
        <v>89063</v>
      </c>
      <c r="C35" s="475" t="str">
        <f>+VLOOKUP(B35,cennik!$A:$G,2,FALSE)</f>
        <v>SEVROLL 20080 finomállító HI-TEC alsó görgőhöz</v>
      </c>
      <c r="D35" s="27"/>
      <c r="E35" s="193">
        <f>+VLOOKUP(B35,cennik!$A:$G,3,FALSE)</f>
        <v>123.01676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Ft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ütközés csillapító MINI 25 kg-ig (pár)</v>
      </c>
      <c r="B36" s="15">
        <v>318662</v>
      </c>
      <c r="C36" s="23" t="str">
        <f>+VLOOKUP(B36,cennik!$A:$G,2,FALSE)</f>
        <v>SEVROLL 20368-SV ütközés csillapító Mini SV25 (14-25kg)</v>
      </c>
      <c r="D36" s="278"/>
      <c r="E36" s="86">
        <f>+VLOOKUP(B36,cennik!$A:$G,3,FALSE)</f>
        <v>9041.7265599999992</v>
      </c>
      <c r="F36" s="91">
        <f>+CEILING(D36,1)*E36</f>
        <v>0</v>
      </c>
      <c r="G36" s="98">
        <f t="shared" si="3"/>
        <v>0</v>
      </c>
      <c r="H36" s="22" t="str">
        <f>cennik!$B$2</f>
        <v>Ft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ütközés csillapító MINI 40 kg-ig (pár)</v>
      </c>
      <c r="B37" s="15">
        <v>283956</v>
      </c>
      <c r="C37" s="23" t="str">
        <f>+VLOOKUP(B37,cennik!$A:$G,2,FALSE)</f>
        <v>SEVROLL 20258-SV ütközés csillapító  Mini SV40 (25 - 40kg)</v>
      </c>
      <c r="D37" s="278"/>
      <c r="E37" s="86">
        <f>+VLOOKUP(B37,cennik!$A:$G,3,FALSE)</f>
        <v>9041.7265599999992</v>
      </c>
      <c r="F37" s="91">
        <f>+CEILING(D37,1)*E37</f>
        <v>0</v>
      </c>
      <c r="G37" s="98">
        <f t="shared" si="3"/>
        <v>0</v>
      </c>
      <c r="H37" s="22" t="str">
        <f>cennik!$B$2</f>
        <v>Ft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ütközés csillapító MINI 60 kg-ig (pár)</v>
      </c>
      <c r="B38" s="15">
        <v>351743</v>
      </c>
      <c r="C38" s="23" t="str">
        <f>+VLOOKUP(B38,cennik!$A:$G,2,FALSE)</f>
        <v>SEVROLL 20339-SV ütközés csillapító Mini SV60 (40 - 60kg)</v>
      </c>
      <c r="D38" s="278"/>
      <c r="E38" s="86">
        <f>+VLOOKUP(B38,cennik!$A:$G,3,FALSE)</f>
        <v>9041.7265599999992</v>
      </c>
      <c r="F38" s="91">
        <f>+CEILING(D38,1)*E38</f>
        <v>0</v>
      </c>
      <c r="G38" s="98">
        <f t="shared" si="3"/>
        <v>0</v>
      </c>
      <c r="H38" s="22" t="str">
        <f>cennik!$B$2</f>
        <v>Ft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csillapító a középső szárnyra 25 kg-ig</v>
      </c>
      <c r="B39" s="15">
        <v>318663</v>
      </c>
      <c r="C39" s="23" t="str">
        <f>+VLOOKUP(B39,cennik!$A:$G,2,FALSE)</f>
        <v>SEVROLL 20363-SV csillapító Central 10/18mm kétoldalú 25kg</v>
      </c>
      <c r="D39" s="278"/>
      <c r="E39" s="86">
        <f>+VLOOKUP(B39,cennik!$A:$G,3,FALSE)</f>
        <v>19364.876939999998</v>
      </c>
      <c r="F39" s="91">
        <f>+CEILING(D39,1)*E39</f>
        <v>0</v>
      </c>
      <c r="G39" s="98">
        <f t="shared" si="3"/>
        <v>0</v>
      </c>
      <c r="H39" s="22" t="str">
        <f>cennik!$B$2</f>
        <v>Ft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csillapító a középső szárnyra 40 kg-ig</v>
      </c>
      <c r="B40" s="15">
        <v>283955</v>
      </c>
      <c r="C40" s="23" t="str">
        <f>+VLOOKUP(B40,cennik!$A:$G,2,FALSE)</f>
        <v>SEVROLL20319-SV  csillapító Central 10 / 18mm kétoldalas 25-40kg</v>
      </c>
      <c r="D40" s="278"/>
      <c r="E40" s="86">
        <f>+VLOOKUP(B40,cennik!$A:$G,3,FALSE)</f>
        <v>19364.876939999998</v>
      </c>
      <c r="F40" s="91">
        <f>+CEILING(D40,1)*E40</f>
        <v>0</v>
      </c>
      <c r="G40" s="98">
        <f t="shared" si="3"/>
        <v>0</v>
      </c>
      <c r="H40" s="22" t="str">
        <f>cennik!$B$2</f>
        <v>Ft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Ütközés tompító (pár) 25 kg</v>
      </c>
      <c r="B41" s="15">
        <v>227185</v>
      </c>
      <c r="C41" s="475" t="str">
        <f>+VLOOKUP(B41,cennik!$A:$G,2,FALSE)</f>
        <v>K-SEVROLL ütközés csillapító 10/18mm 14-25kg J+B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Ft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Ütközés tompító (pár) 50 kg</v>
      </c>
      <c r="B42" s="15">
        <v>227187</v>
      </c>
      <c r="C42" s="475" t="str">
        <f>+VLOOKUP(B42,cennik!$A:$G,2,FALSE)</f>
        <v>K-SEVROLL ütközés csillapító 10/18mm 25-50kg J+B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Ft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Klipsz támfalas kefére</v>
      </c>
      <c r="B43" s="15">
        <v>223569</v>
      </c>
      <c r="C43" s="475" t="str">
        <f>+VLOOKUP(B43,cennik!$A:$G,2,FALSE)</f>
        <v>SEVROLL 20223 kapocs támfalas keféhez</v>
      </c>
      <c r="D43" s="27"/>
      <c r="E43" s="193">
        <f>+VLOOKUP(B43,cennik!$A:$G,3,FALSE)</f>
        <v>30.754100000000001</v>
      </c>
      <c r="F43" s="99">
        <f t="shared" si="2"/>
        <v>0</v>
      </c>
      <c r="G43" s="98">
        <f t="shared" si="3"/>
        <v>0</v>
      </c>
      <c r="H43" s="5" t="str">
        <f>cennik!$B$2</f>
        <v>Ft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Összekötő profil H18- 3 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Ft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összekötő T-profil 3 m / vájattal 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Ft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összekötő T-profil 3 m / peremmel 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Ft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FFL-ra 18 mm-3 m / sima 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Ft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FFL-ra 18 mm-3 m / peremmel 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Ft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Sarok elem mini 11x17mm - 1,7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Ft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Sarok elem mini 11x17mm - 2,35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Ft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Sarok elem  mini11x17mm - 3,00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Ft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Sarok elem K2 t19x18mm - 1,7 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Ft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Sarok elem K2 19x18mm - 2,35 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Ft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Sarok elem K2 19x18mm - 3,00 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Ft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ek a 16mm hézak kitöltéséhez</v>
      </c>
      <c r="B55" s="15">
        <v>308631</v>
      </c>
      <c r="C55" s="475" t="str">
        <f>+VLOOKUP(B55,cennik!$A:$G,2,FALSE)</f>
        <v>SEVROLL 20252  ék rétegelt lemezhez vastagság 2mm (100 db)</v>
      </c>
      <c r="D55" s="27"/>
      <c r="E55" s="193">
        <f>+VLOOKUP(B55,cennik!$A:$G,3,FALSE)</f>
        <v>3385.3154599999998</v>
      </c>
      <c r="F55" s="99">
        <f t="shared" si="2"/>
        <v>0</v>
      </c>
      <c r="G55" s="98">
        <f t="shared" si="3"/>
        <v>0</v>
      </c>
      <c r="H55" s="5" t="str">
        <f>cennik!$B$2</f>
        <v>Ft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tolóajtó zár</v>
      </c>
      <c r="B56" s="15">
        <v>216363</v>
      </c>
      <c r="C56" s="475" t="str">
        <f>+VLOOKUP(B56,cennik!$A:$G,2,FALSE)</f>
        <v>SEVROLL 20356 tolóajtó zár 10/18mm</v>
      </c>
      <c r="D56" s="27"/>
      <c r="E56" s="193">
        <f>+VLOOKUP(B56,cennik!$A:$G,3,FALSE)</f>
        <v>6243.0970299999999</v>
      </c>
      <c r="F56" s="99">
        <f t="shared" si="2"/>
        <v>0</v>
      </c>
      <c r="G56" s="98">
        <f t="shared" si="3"/>
        <v>0</v>
      </c>
      <c r="H56" s="5" t="str">
        <f>cennik!$B$2</f>
        <v>Ft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Porkefe (méterek) becsúsztatható</v>
      </c>
      <c r="B57" s="15">
        <v>308639</v>
      </c>
      <c r="C57" s="23" t="str">
        <f>+VLOOKUP(B57,cennik!$A:$G,2,FALSE)</f>
        <v>SEVROLL porfogó kefe öntapadó 6,7x13mm szürke</v>
      </c>
      <c r="D57" s="27"/>
      <c r="E57" s="193">
        <f>+VLOOKUP(B57,cennik!$A:$G,3,FALSE)</f>
        <v>149.22027</v>
      </c>
      <c r="F57" s="99">
        <f t="shared" si="2"/>
        <v>0</v>
      </c>
      <c r="G57" s="98">
        <f t="shared" si="3"/>
        <v>0</v>
      </c>
      <c r="H57" s="5" t="str">
        <f>cennik!$B$2</f>
        <v>Ft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Ennek a rendszernek műszaki rajza</v>
      </c>
      <c r="D60" s="73" t="str">
        <f>+Faworyt!D61</f>
        <v>Összesen áfával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Ft</v>
      </c>
      <c r="I60" s="166"/>
      <c r="K60" s="166"/>
    </row>
    <row r="61" spans="1:14" ht="12.75" customHeight="1" x14ac:dyDescent="0.25">
      <c r="A61" s="70" t="str">
        <f>System10!$A$67</f>
        <v>Az Ön megjegyzése:</v>
      </c>
      <c r="B61" s="712"/>
      <c r="C61" s="713"/>
      <c r="D61" s="713"/>
      <c r="E61" s="713"/>
      <c r="F61" s="713"/>
      <c r="G61" s="714"/>
      <c r="H61" s="5"/>
      <c r="L61" s="4" t="str">
        <f>texty!$A$128</f>
        <v>ezüst</v>
      </c>
      <c r="M61" s="19" t="s">
        <v>968</v>
      </c>
    </row>
    <row r="62" spans="1:14" ht="12.75" customHeight="1" x14ac:dyDescent="0.25">
      <c r="A62" s="711" t="str">
        <f>profil!$U$15</f>
        <v/>
      </c>
      <c r="B62" s="697"/>
      <c r="C62" s="697"/>
      <c r="D62" s="697"/>
      <c r="E62" s="697"/>
      <c r="F62" s="697"/>
      <c r="G62" s="697"/>
      <c r="H62" s="697"/>
      <c r="L62" s="4" t="str">
        <f>texty!$A$130</f>
        <v>oliva</v>
      </c>
      <c r="M62" s="19" t="s">
        <v>42</v>
      </c>
    </row>
    <row r="63" spans="1:14" ht="12.75" customHeight="1" x14ac:dyDescent="0.25">
      <c r="A63" s="698" t="str">
        <f>IF(N63=1,texty!$A$215,IF(K63&gt;0,texty!$A$214,""))</f>
        <v>egyes tételek nem a kiválasztott hosszúságban készülnek</v>
      </c>
      <c r="B63" s="698"/>
      <c r="C63" s="698"/>
      <c r="D63" s="698"/>
      <c r="E63" s="698"/>
      <c r="F63" s="698"/>
      <c r="G63" s="698"/>
      <c r="H63" s="698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27" customHeight="1" x14ac:dyDescent="0.25">
      <c r="A4" s="9" t="str">
        <f>texty!A70</f>
        <v>A SZEKRÉNY BELSŐ MÉRETE</v>
      </c>
      <c r="B4" s="52"/>
      <c r="C4" s="52"/>
      <c r="D4" s="20"/>
      <c r="E4" s="194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Az ajtószárny max. nagysága  tükörrel 2400x700 mm.</v>
      </c>
      <c r="C12" s="387"/>
      <c r="D12" s="7"/>
      <c r="E12" s="7"/>
      <c r="G12" s="5"/>
      <c r="L12" s="5"/>
    </row>
    <row r="13" spans="1:16" ht="19.95" customHeight="1" x14ac:dyDescent="0.25">
      <c r="A13" s="683" t="str">
        <f>IF(SUM(D39:D40)&gt;0,texty!A246,"")</f>
        <v/>
      </c>
      <c r="B13" s="683"/>
      <c r="C13" s="716" t="str">
        <f>texty!A78</f>
        <v>Utólagos levonás a kiszámított magasságból  a betéteknél az elválasztó profilok használatakor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3"/>
      <c r="B14" s="683"/>
      <c r="C14" s="716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Alsó profil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Takaró profil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14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4">
        <f>IF(F4=M64,362316,229440)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4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Választható tartozékok:</v>
      </c>
      <c r="B33" s="14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Finomállító</v>
      </c>
      <c r="B35" s="14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ütközés csillapító MINI 25 kg-ig (pár)</v>
      </c>
      <c r="B36" s="14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ütközés csillapító MINI 40 kg-ig (pár)</v>
      </c>
      <c r="B37" s="22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ütközés csillapító MINI 60 kg-ig (pár)</v>
      </c>
      <c r="B38" s="22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csillapító a középső szárnyra 25 kg-ig</v>
      </c>
      <c r="B39" s="22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csillapító a középső szárnyra 40 kg-ig</v>
      </c>
      <c r="B40" s="22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Ütközés tompító (pár) 25 kg</v>
      </c>
      <c r="B41" s="22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Ütközés tompító (pár) 50 kg</v>
      </c>
      <c r="B42" s="22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Klipsz támfalas kefére</v>
      </c>
      <c r="B43" s="14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Összekötő profil H18- 3 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összekötő T-profil 3 m / vájattal 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összekötő T-profil 3 m / peremmel 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FFL-ra 18 mm-3 m / sima 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FFL-ra 18 mm-3 m / peremmel 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Sarok elem mini 11x17mm - 1,7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Sarok elem mini 11x17mm - 2,35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Sarok elem  mini11x17mm - 3,00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Sarok elem K2 t19x18mm - 1,7 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Sarok elem K2 19x18mm - 2,35 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Sarok elem K2 19x18mm - 3,00 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ek a 16mm hézak kitöltéséhez</v>
      </c>
      <c r="B55" s="14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tolóajtó zár</v>
      </c>
      <c r="B56" s="22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Porkefe (méterek) becsúsztatható</v>
      </c>
      <c r="B57" s="22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További tartozékok tolóajtó rendszerekhez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Ennek a rendszernek műszaki rajza</v>
      </c>
      <c r="B62" s="15"/>
      <c r="C62" s="23"/>
      <c r="D62" s="72" t="str">
        <f>+Faworyt!D61</f>
        <v>Összesen áfával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Ft</v>
      </c>
      <c r="I62" s="166"/>
      <c r="J62" s="166"/>
      <c r="L62" s="5"/>
    </row>
    <row r="63" spans="1:13" ht="12.75" customHeight="1" x14ac:dyDescent="0.25">
      <c r="A63" s="70" t="str">
        <f>System10!A67</f>
        <v>Az Ön megjegyzése:</v>
      </c>
      <c r="B63" s="712"/>
      <c r="C63" s="713"/>
      <c r="D63" s="713"/>
      <c r="E63" s="713"/>
      <c r="F63" s="713"/>
      <c r="G63" s="714"/>
      <c r="H63" s="5"/>
      <c r="L63" s="5"/>
    </row>
    <row r="64" spans="1:13" ht="12.75" customHeight="1" x14ac:dyDescent="0.25">
      <c r="A64" s="711" t="str">
        <f>profil!U15</f>
        <v/>
      </c>
      <c r="B64" s="697"/>
      <c r="C64" s="697"/>
      <c r="D64" s="697"/>
      <c r="E64" s="697"/>
      <c r="F64" s="697"/>
      <c r="G64" s="697"/>
      <c r="H64" s="697"/>
      <c r="K64" s="5">
        <v>64</v>
      </c>
      <c r="L64" s="4" t="str">
        <f>data!J4</f>
        <v>ezüst</v>
      </c>
      <c r="M64" s="19" t="s">
        <v>968</v>
      </c>
    </row>
    <row r="65" spans="1:14" ht="12.75" customHeight="1" x14ac:dyDescent="0.25">
      <c r="A65" s="698" t="str">
        <f>IF(N65=1,texty!A215,IF(J65&gt;0,texty!A214,""))</f>
        <v>egyes tételek nem a kiválasztott hosszúságban készülnek</v>
      </c>
      <c r="B65" s="698"/>
      <c r="C65" s="698"/>
      <c r="D65" s="698"/>
      <c r="E65" s="698"/>
      <c r="F65" s="698"/>
      <c r="G65" s="698"/>
      <c r="H65" s="698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kefélt oliva</v>
      </c>
    </row>
    <row r="67" spans="1:14" ht="12.75" hidden="1" customHeight="1" x14ac:dyDescent="0.25">
      <c r="L67" s="4" t="str">
        <f>data!J8</f>
        <v>szálcsi.oliva sö.</v>
      </c>
    </row>
    <row r="68" spans="1:14" ht="12.75" hidden="1" customHeight="1" x14ac:dyDescent="0.25">
      <c r="L68" s="4" t="str">
        <f>data!J9</f>
        <v>szálcsi.fekete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Vevő, , VSZ: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2024 Bútorvasalat katalógus  old. 7.39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A SZEKRÉNY BELSŐ MÉRETE</v>
      </c>
      <c r="B4" s="52"/>
      <c r="C4" s="52"/>
      <c r="D4" s="20"/>
      <c r="E4" s="194"/>
      <c r="F4" s="194"/>
      <c r="G4" s="682"/>
      <c r="H4" s="682"/>
      <c r="I4" s="682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81" t="str">
        <f>texty!A45</f>
        <v>töltsék ki ezt az 5 sort !!! Adatok mm-ben</v>
      </c>
      <c r="C5" s="681"/>
      <c r="D5" s="681"/>
      <c r="E5" s="681"/>
      <c r="F5" s="19"/>
      <c r="G5" s="682"/>
      <c r="H5" s="682"/>
      <c r="I5" s="682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2"/>
      <c r="H6" s="682"/>
      <c r="I6" s="682"/>
      <c r="J6" s="173"/>
      <c r="K6" s="5"/>
      <c r="Q6" s="684" t="s">
        <v>542</v>
      </c>
      <c r="R6" s="684" t="s">
        <v>543</v>
      </c>
      <c r="S6" s="684" t="s">
        <v>544</v>
      </c>
      <c r="T6" s="68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ajtó szárny</v>
      </c>
      <c r="B7" s="53" t="str">
        <f>IF(B4&gt;0,B4-40,"")</f>
        <v/>
      </c>
      <c r="C7" s="462" t="str">
        <f>IFERROR((((C4-3+(25*(D4-1)))/D4+IF(AND(D4=4,D6=2),L1,0))),texty!A235)</f>
        <v>A szárny maximális szélessége 1 100 mm lehet!!!</v>
      </c>
      <c r="D7" s="15"/>
      <c r="E7" s="15"/>
      <c r="F7" s="19"/>
      <c r="G7" s="330" t="str">
        <f>texty!A42</f>
        <v>Üveg betétnél (vagy tükörnél)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a tükör/üveg mérete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 biztonsági üveget kell használni,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a vezető és takaró profil mérete 1 szárnyra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vagy az üveget bebiztosítani védő fóliával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alsó/felső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fogantyú profil</v>
      </c>
      <c r="B11" s="380" t="str">
        <f>+B7</f>
        <v/>
      </c>
      <c r="C11" s="381"/>
      <c r="D11" s="15"/>
      <c r="E11" s="15"/>
      <c r="F11" s="19"/>
      <c r="G11" s="21" t="str">
        <f>texty!A43</f>
        <v>Az ajtószárny maximális súlya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3" t="str">
        <f>IF(SUM(D51:D52)&gt;0,texty!A245,"")</f>
        <v/>
      </c>
      <c r="B13" s="683"/>
      <c r="C13" s="584" t="str">
        <f>IFERROR((IF(C7&gt;1100,texty!A235,""))," ")</f>
        <v>A szárny maximális szélessége 1 100 mm lehet!!!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8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8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87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8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 árengedmény: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Megrendelési kódok, árak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megnevezés</v>
      </c>
      <c r="D28" s="17" t="str">
        <f>texty!A17</f>
        <v>db</v>
      </c>
      <c r="E28" s="17" t="str">
        <f>texty!A18</f>
        <v>db ár</v>
      </c>
      <c r="F28" s="17" t="str">
        <f>texty!A19</f>
        <v>ár összesen</v>
      </c>
      <c r="G28" s="18" t="str">
        <f>texty!A20</f>
        <v>összesen nettó</v>
      </c>
      <c r="H28" s="22"/>
      <c r="I28" s="18" t="str">
        <f>texty!A29</f>
        <v>Megjegyzés: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Felső profil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Alsó profil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Takaró profil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Felső kocsi (szett)</v>
      </c>
      <c r="B32" s="14">
        <v>228009</v>
      </c>
      <c r="C32" s="23" t="str">
        <f>+VLOOKUP(B32,cennik!A:G,2,FALSE)</f>
        <v>SEVROLL 10204 felső görgő Gemini szimmetrikus 10mm - 2db</v>
      </c>
      <c r="D32" s="15">
        <f>IF((D53+D54)&gt;D4,0,D4-(D53+D54))</f>
        <v>0</v>
      </c>
      <c r="E32" s="86">
        <f>+VLOOKUP(B32,cennik!A:G,3,FALSE)</f>
        <v>2040.0269000000001</v>
      </c>
      <c r="F32" s="86">
        <f t="shared" si="0"/>
        <v>0</v>
      </c>
      <c r="G32" s="87">
        <f>+F32*(100-G27)/100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Alsó kocsi (szett)</v>
      </c>
      <c r="B33" s="14">
        <f>IF(F4=L60,328321,229441)</f>
        <v>229441</v>
      </c>
      <c r="C33" s="23" t="str">
        <f>+VLOOKUP(B33,cennik!A:G,2,FALSE)</f>
        <v>SEVROLL 10200 alsó görgő WD 10C HI-TEC - 2db</v>
      </c>
      <c r="D33" s="15">
        <f>+D4</f>
        <v>0</v>
      </c>
      <c r="E33" s="86">
        <f>+VLOOKUP(B33,cennik!A:G,3,FALSE)</f>
        <v>2624.35581</v>
      </c>
      <c r="F33" s="86">
        <f t="shared" si="0"/>
        <v>0</v>
      </c>
      <c r="G33" s="87">
        <f>+F33*(100-G27)/100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támfalas kefe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Fogantyú profil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Összekötő csavar</v>
      </c>
      <c r="B36" s="14">
        <v>89244</v>
      </c>
      <c r="C36" s="23" t="str">
        <f>+VLOOKUP(B36,cennik!A:G,2,FALSE)</f>
        <v>SEVROLL20001  csavar 6,3x32 SEVROLL a Simple</v>
      </c>
      <c r="D36" s="15">
        <f>+D4*4</f>
        <v>0</v>
      </c>
      <c r="E36" s="86">
        <f>+VLOOKUP(B36,cennik!A:G,3,FALSE)</f>
        <v>61.50817</v>
      </c>
      <c r="F36" s="86">
        <f t="shared" si="0"/>
        <v>0</v>
      </c>
      <c r="G36" s="461">
        <f>+F36*(100-G27)/100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A keret fölső profilja (sín)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Ft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A keret vízszintes profilja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takarósapka (4 db)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Választható tartozékok:</v>
      </c>
      <c r="B42" s="13"/>
      <c r="D42" s="24" t="str">
        <f>texty!A33</f>
        <v>adja be a db számot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Finomállító felső vezetéshez</v>
      </c>
      <c r="B43" s="13">
        <v>298035</v>
      </c>
      <c r="C43" s="23" t="str">
        <f>+VLOOKUP(B43,cennik!A:G,2,FALSE)</f>
        <v>SEVROLL 20326 Fix Fix finomállító felső görgő-höz transzparens</v>
      </c>
      <c r="D43" s="27"/>
      <c r="E43" s="265">
        <f>+VLOOKUP(B43,cennik!A:G,3,FALSE)</f>
        <v>481.81545</v>
      </c>
      <c r="F43" s="266">
        <f>+CEILING(D43,1)*E43</f>
        <v>0</v>
      </c>
      <c r="G43" s="87">
        <f>+F43*(100-G27)/100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Finomállító</v>
      </c>
      <c r="B44" s="14">
        <f>IF(F4="Gemini",387424,89063)</f>
        <v>89063</v>
      </c>
      <c r="C44" s="23" t="str">
        <f>+VLOOKUP(B44,cennik!A:G,2,FALSE)</f>
        <v>SEVROLL 20080 finomállító HI-TEC alsó görgőhöz</v>
      </c>
      <c r="D44" s="27"/>
      <c r="E44" s="265">
        <f>+VLOOKUP(B44,cennik!A:G,3,FALSE)</f>
        <v>123.01676</v>
      </c>
      <c r="F44" s="266">
        <f>+CEILING(D44,1)*E44</f>
        <v>0</v>
      </c>
      <c r="G44" s="87">
        <f>+F44*(100-G27)/100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ragasztható fogantyú,fehér fényes</v>
      </c>
      <c r="B45" s="15">
        <v>288125</v>
      </c>
      <c r="C45" s="23" t="str">
        <f>+VLOOKUP(B45,cennik!A:G,2,FALSE)</f>
        <v>SEVROLL 20329 Pax fogantyú ragasztható fehér</v>
      </c>
      <c r="D45" s="27"/>
      <c r="E45" s="265">
        <f>+VLOOKUP(B45,cennik!A:G,3,FALSE)</f>
        <v>3084.84366</v>
      </c>
      <c r="F45" s="266">
        <f>+CEILING(D45,1)*E45</f>
        <v>0</v>
      </c>
      <c r="G45" s="87">
        <f>+F45*(100-G27)/100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ragasztható fogantyú,ezüst</v>
      </c>
      <c r="B46" s="22">
        <v>288126</v>
      </c>
      <c r="C46" s="23" t="str">
        <f>+VLOOKUP(B46,cennik!A:G,2,FALSE)</f>
        <v>SEVROLL 20328  Pax fogantyú ragasztható ezüst</v>
      </c>
      <c r="D46" s="27"/>
      <c r="E46" s="86">
        <f>+VLOOKUP(B46,cennik!A:G,3,FALSE)</f>
        <v>2373.7272499999999</v>
      </c>
      <c r="F46" s="91">
        <f>+CEILING(D46,1)*E46</f>
        <v>0</v>
      </c>
      <c r="G46" s="87">
        <f>+F46*(100-G27)/100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merevítő- profil 3 m</v>
      </c>
      <c r="B47" s="22">
        <v>283904</v>
      </c>
      <c r="C47" s="23" t="str">
        <f>+VLOOKUP(B47,cennik!A:G,2,FALSE)</f>
        <v>SEVROLL  04318  Pax merevítő 3m ezüst</v>
      </c>
      <c r="D47" s="27"/>
      <c r="E47" s="86">
        <f>+VLOOKUP(B47,cennik!A:G,3,FALSE)</f>
        <v>11147.503419999999</v>
      </c>
      <c r="F47" s="91">
        <f>+CEILING(D47,1)*E47</f>
        <v>0</v>
      </c>
      <c r="G47" s="87">
        <f>+F47*(100-G27)/100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ütközés csillapító MINI 25 kg-ig (pár)</v>
      </c>
      <c r="B48" s="14">
        <v>318662</v>
      </c>
      <c r="C48" s="23" t="str">
        <f>+VLOOKUP(B48,cennik!A:G,2,FALSE)</f>
        <v>SEVROLL 20368-SV ütközés csillapító Mini SV25 (14-25kg)</v>
      </c>
      <c r="D48" s="27"/>
      <c r="E48" s="86">
        <f>+VLOOKUP(B48,cennik!A:G,3,FALSE)</f>
        <v>9041.7265599999992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ütközés csillapító MINI 40 kg-ig (pár)</v>
      </c>
      <c r="B49" s="22">
        <v>283956</v>
      </c>
      <c r="C49" s="23" t="str">
        <f>+VLOOKUP(B49,cennik!A:G,2,FALSE)</f>
        <v>SEVROLL 20258-SV ütközés csillapító  Mini SV40 (25 - 40kg)</v>
      </c>
      <c r="D49" s="27"/>
      <c r="E49" s="86">
        <f>+VLOOKUP(B49,cennik!A:G,3,FALSE)</f>
        <v>9041.7265599999992</v>
      </c>
      <c r="F49" s="91">
        <f t="shared" si="1"/>
        <v>0</v>
      </c>
      <c r="G49" s="87">
        <f>+F49*(100-G27)/100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ütközés csillapító MINI 60 kg-ig (pár)</v>
      </c>
      <c r="B50" s="22">
        <v>351743</v>
      </c>
      <c r="C50" s="23" t="str">
        <f>+VLOOKUP(B50,cennik!A:G,2,FALSE)</f>
        <v>SEVROLL 20339-SV ütközés csillapító Mini SV60 (40 - 60kg)</v>
      </c>
      <c r="D50" s="27"/>
      <c r="E50" s="86">
        <f>+VLOOKUP(B50,cennik!A:G,3,FALSE)</f>
        <v>9041.7265599999992</v>
      </c>
      <c r="F50" s="91">
        <f t="shared" si="1"/>
        <v>0</v>
      </c>
      <c r="G50" s="87">
        <f>+F50*(100-G27)/100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csillapító a középső szárnyra 25 kg-ig</v>
      </c>
      <c r="B51" s="22">
        <v>318663</v>
      </c>
      <c r="C51" s="23" t="str">
        <f>+VLOOKUP(B51,cennik!A:G,2,FALSE)</f>
        <v>SEVROLL 20363-SV csillapító Central 10/18mm kétoldalú 25kg</v>
      </c>
      <c r="D51" s="27"/>
      <c r="E51" s="86">
        <f>+VLOOKUP(B51,cennik!A:G,3,FALSE)</f>
        <v>19364.876939999998</v>
      </c>
      <c r="F51" s="91">
        <f t="shared" si="1"/>
        <v>0</v>
      </c>
      <c r="G51" s="87">
        <f>+F51*(100-G27)/100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csillapító a középső szárnyra 40 kg-ig</v>
      </c>
      <c r="B52" s="22">
        <v>283955</v>
      </c>
      <c r="C52" s="23" t="str">
        <f>+VLOOKUP(B52,cennik!A:G,2,FALSE)</f>
        <v>SEVROLL20319-SV  csillapító Central 10 / 18mm kétoldalas 25-40kg</v>
      </c>
      <c r="D52" s="27"/>
      <c r="E52" s="86">
        <f>+VLOOKUP(B52,cennik!A:G,3,FALSE)</f>
        <v>19364.876939999998</v>
      </c>
      <c r="F52" s="91">
        <f t="shared" si="1"/>
        <v>0</v>
      </c>
      <c r="G52" s="87">
        <f>+F52*(100-G27)/100</f>
        <v>0</v>
      </c>
      <c r="H52" s="22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Ütközés tompító (pár) 25 kg</v>
      </c>
      <c r="B53" s="22">
        <v>227185</v>
      </c>
      <c r="C53" s="23" t="str">
        <f>+VLOOKUP(B53,cennik!A:G,2,FALSE)</f>
        <v>K-SEVROLL ütközés csillapító 10/18mm 14-25kg J+B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Ütközés tompító (pár) 50 kg</v>
      </c>
      <c r="B54" s="22">
        <v>227187</v>
      </c>
      <c r="C54" s="23" t="str">
        <f>+VLOOKUP(B54,cennik!A:G,2,FALSE)</f>
        <v>K-SEVROLL ütközés csillapító 10/18mm 25-50kg J+B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28"/>
      <c r="E55" s="86">
        <f>+VLOOKUP(B55,cennik!A:G,3,FALSE)</f>
        <v>90.9</v>
      </c>
      <c r="F55" s="86">
        <f>+E55*D55</f>
        <v>0</v>
      </c>
      <c r="G55" s="87">
        <f>+F55*(100-G27)/100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Összekötő csavar</v>
      </c>
      <c r="B56" s="14">
        <v>89244</v>
      </c>
      <c r="C56" s="23" t="str">
        <f>+VLOOKUP(B56,cennik!A:G,2,FALSE)</f>
        <v>SEVROLL20001  csavar 6,3x32 SEVROLL a Simple</v>
      </c>
      <c r="D56" s="354"/>
      <c r="E56" s="86">
        <f>+VLOOKUP(B56,cennik!A:G,3,FALSE)</f>
        <v>61.50817</v>
      </c>
      <c r="F56" s="86">
        <f>+E56*D56</f>
        <v>0</v>
      </c>
      <c r="G56" s="87">
        <f>+F56*(100-G27)/100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További tartozékok tolóajtó rendszerekhez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Ennek a rendszernek műszaki rajza</v>
      </c>
      <c r="B60" s="196">
        <v>128842</v>
      </c>
      <c r="C60" s="153" t="str">
        <f>VLOOKUP(B60,cennik!A:C,2,0)</f>
        <v>SEVROLL 20144 fúró fokozatos 6,5/9,5mm</v>
      </c>
      <c r="D60" s="41"/>
      <c r="E60" s="86">
        <f>+VLOOKUP(B60,cennik!A:G,3,FALSE)</f>
        <v>10898.66318</v>
      </c>
      <c r="F60" s="91">
        <f>+CEILING(D60,1)*E60</f>
        <v>0</v>
      </c>
      <c r="G60" s="87">
        <f>F60</f>
        <v>0</v>
      </c>
      <c r="H60" s="5" t="str">
        <f>cennik!B2</f>
        <v>Ft</v>
      </c>
      <c r="I60" s="174"/>
      <c r="J60" s="174" t="str">
        <f>IF(D60&gt;0,IF(VLOOKUP(B60,cennik!A:L,12,FALSE)="O",1,""),"")</f>
        <v/>
      </c>
      <c r="K60" s="4" t="str">
        <f>texty!A128</f>
        <v>ezüst</v>
      </c>
      <c r="L60" s="4" t="s">
        <v>968</v>
      </c>
    </row>
    <row r="61" spans="1:12" ht="12.75" customHeight="1" x14ac:dyDescent="0.25">
      <c r="A61" s="685" t="str">
        <f>IF(SUM(D53:D54)&gt;0,IF(C7&lt;(B4/3),texty!A212,""),"")</f>
        <v/>
      </c>
      <c r="B61" s="685"/>
      <c r="C61" s="685"/>
      <c r="D61" s="685"/>
      <c r="E61" s="685"/>
      <c r="F61" s="685"/>
      <c r="G61" s="685"/>
      <c r="H61" s="685"/>
      <c r="I61" s="685"/>
      <c r="J61" s="126"/>
      <c r="K61" s="4" t="str">
        <f>texty!A132</f>
        <v>fehér fényes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Összesen áfával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Ft</v>
      </c>
      <c r="I62" s="22"/>
      <c r="J62" s="166"/>
      <c r="K62" s="4" t="str">
        <f>data!J17</f>
        <v>matt feket</v>
      </c>
    </row>
    <row r="63" spans="1:12" ht="12.75" customHeight="1" x14ac:dyDescent="0.25">
      <c r="A63" s="337" t="str">
        <f>texty!A14</f>
        <v>Az Ön megjegyzése:</v>
      </c>
      <c r="B63" s="676"/>
      <c r="C63" s="677"/>
      <c r="D63" s="677"/>
      <c r="E63" s="677"/>
      <c r="F63" s="677"/>
      <c r="G63" s="677"/>
      <c r="H63" s="22"/>
      <c r="I63" s="22"/>
      <c r="J63" s="166"/>
    </row>
    <row r="64" spans="1:12" ht="12.75" customHeight="1" x14ac:dyDescent="0.25">
      <c r="A64" s="678" t="str">
        <f>profil!U15</f>
        <v/>
      </c>
      <c r="B64" s="679"/>
      <c r="C64" s="679"/>
      <c r="D64" s="679"/>
      <c r="E64" s="679"/>
      <c r="F64" s="679"/>
      <c r="G64" s="679"/>
      <c r="H64" s="22"/>
      <c r="I64" s="22"/>
    </row>
    <row r="65" spans="1:13" ht="12.75" customHeight="1" x14ac:dyDescent="0.25">
      <c r="A65" s="680" t="str">
        <f>IF(M65=1,texty!A215,IF(J65&gt;0,texty!A214,""))</f>
        <v>egyes tételek nem a kiválasztott hosszúságban készülnek</v>
      </c>
      <c r="B65" s="680"/>
      <c r="C65" s="680"/>
      <c r="D65" s="680"/>
      <c r="E65" s="680"/>
      <c r="F65" s="680"/>
      <c r="G65" s="680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Vevő, , VSZ: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K3" s="5"/>
    </row>
    <row r="4" spans="1:15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7"/>
    </row>
    <row r="5" spans="1:15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fogantyú profil hossza (+2mm)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Ennél a variációnál nem használható az  üveg/tükör kombináció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3" t="str">
        <f>IF(SUM(D39:D40)&gt;0,texty!A246,"")</f>
        <v/>
      </c>
      <c r="B12" s="683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3"/>
      <c r="B13" s="683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3"/>
      <c r="B14" s="683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3"/>
      <c r="B15" s="683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8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8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87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8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K22" s="5"/>
    </row>
    <row r="23" spans="1:11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</row>
    <row r="25" spans="1:11" ht="12.75" customHeight="1" x14ac:dyDescent="0.25">
      <c r="A25" s="6" t="str">
        <f>+Faworyt!A26</f>
        <v>felső profil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támfalas kefe</v>
      </c>
      <c r="B30" s="170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Fogantyú profil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Összekötő profil H18- 3 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összekötő T-profil 3 m / vájattal 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összekötő T-profil 3 m / peremmel 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FFL-ra 18 mm-3 m / sima 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FFL-ra 18 mm-3 m / peremmel 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Sarok elem mini 11x17mm - 1,7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Sarok elem mini 11x17mm - 2,35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Sarok elem  mini11x17mm - 3,00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Sarok elem K2 t19x18mm - 1,7 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Sarok elem K2 19x18mm - 2,35 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Sarok elem K2 19x18mm - 3,00 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Ennek a rendszernek műszaki rajza</v>
      </c>
      <c r="C59" s="36"/>
      <c r="D59" s="74" t="str">
        <f>+Faworyt!D61</f>
        <v>Összesen áfával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Ft</v>
      </c>
      <c r="J59" s="166"/>
      <c r="K59" s="5"/>
    </row>
    <row r="60" spans="1:14" ht="12.75" customHeight="1" x14ac:dyDescent="0.25">
      <c r="A60" s="70" t="str">
        <f>System10!A67</f>
        <v>Az Ön megjegyzése:</v>
      </c>
      <c r="B60" s="712"/>
      <c r="C60" s="713"/>
      <c r="D60" s="713"/>
      <c r="E60" s="713"/>
      <c r="F60" s="713"/>
      <c r="G60" s="714"/>
      <c r="H60" s="5"/>
      <c r="K60" s="5"/>
    </row>
    <row r="61" spans="1:14" ht="12.75" customHeight="1" x14ac:dyDescent="0.25">
      <c r="A61" s="711" t="str">
        <f>profil!U15</f>
        <v/>
      </c>
      <c r="B61" s="697"/>
      <c r="C61" s="697"/>
      <c r="D61" s="697"/>
      <c r="E61" s="697"/>
      <c r="F61" s="697"/>
      <c r="G61" s="697"/>
      <c r="H61" s="697"/>
      <c r="K61" s="5"/>
    </row>
    <row r="62" spans="1:14" ht="12.75" customHeight="1" x14ac:dyDescent="0.25">
      <c r="A62" s="698" t="str">
        <f>IF(N62=1,texty!A215,IF(J62&gt;0,texty!A214,""))</f>
        <v>egyes tételek nem a kiválasztott hosszúságban készülnek</v>
      </c>
      <c r="B62" s="698"/>
      <c r="C62" s="698"/>
      <c r="D62" s="698"/>
      <c r="E62" s="698"/>
      <c r="F62" s="698"/>
      <c r="G62" s="698"/>
      <c r="H62" s="698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3" t="str">
        <f>IF(SUM(D39:D40)&gt;0,texty!A246,"")</f>
        <v/>
      </c>
      <c r="B11" s="683"/>
      <c r="C11" s="600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3"/>
      <c r="B12" s="683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3"/>
      <c r="B13" s="683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8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K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70">
        <v>89131</v>
      </c>
      <c r="C30" s="475" t="str">
        <f>+VLOOKUP(B30,cennik!A:G,2,FALSE)</f>
        <v>SEVROLL támfalas kefe öntapadó 6,7x4mm szürke</v>
      </c>
      <c r="D30" s="15">
        <f>CEILING((B4*D4*2/1000),1)</f>
        <v>0</v>
      </c>
      <c r="E30" s="193">
        <f>+VLOOKUP(B30,cennik!A:G,3,FALSE)</f>
        <v>89.639870000000002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Összekötő profil H18- 3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összekötő T-profil 3 m / vájattal 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összekötő T-profil 3 m / peremmel 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FFL-ra 18 mm-3 m / peremmel 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Sarok elem K2 19x18mm - 2,35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5">
      <c r="A60" s="70" t="str">
        <f>System10!A67</f>
        <v>Az Ön megjegyzése:</v>
      </c>
      <c r="B60" s="712"/>
      <c r="C60" s="713"/>
      <c r="D60" s="713"/>
      <c r="E60" s="713"/>
      <c r="F60" s="713"/>
      <c r="G60" s="714"/>
      <c r="H60" s="5"/>
      <c r="L60" s="5"/>
    </row>
    <row r="61" spans="1:14" ht="12.75" customHeight="1" x14ac:dyDescent="0.25">
      <c r="A61" s="711" t="str">
        <f>profil!U15</f>
        <v/>
      </c>
      <c r="B61" s="697"/>
      <c r="C61" s="697"/>
      <c r="D61" s="697"/>
      <c r="E61" s="697"/>
      <c r="F61" s="697"/>
      <c r="G61" s="697"/>
      <c r="H61" s="697"/>
      <c r="L61" s="5"/>
    </row>
    <row r="62" spans="1:14" ht="12.75" customHeight="1" x14ac:dyDescent="0.25">
      <c r="A62" s="698" t="str">
        <f>IF(N62=1,texty!A215,IF(K62&gt;0,texty!A214,""))</f>
        <v>egyes tételek nem a kiválasztott hosszúságban készülnek</v>
      </c>
      <c r="B62" s="698"/>
      <c r="C62" s="698"/>
      <c r="D62" s="698"/>
      <c r="E62" s="698"/>
      <c r="F62" s="698"/>
      <c r="G62" s="698"/>
      <c r="H62" s="698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Ennél a variációnál nem használható az  üveg/tükör kombináció</v>
      </c>
      <c r="B10" s="65"/>
      <c r="C10" s="601" t="str">
        <f>texty!A78</f>
        <v>Utólagos levonás a kiszámított magasságból  a betéteknél az elválasztó profilok használatakor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3" t="str">
        <f>IF(SUM(D39:D40)&gt;0,texty!A246,"")</f>
        <v/>
      </c>
      <c r="B11" s="683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3"/>
      <c r="B12" s="683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3"/>
      <c r="B13" s="683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8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8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árengedmény:</v>
      </c>
      <c r="H22" s="5"/>
      <c r="L22" s="5"/>
    </row>
    <row r="23" spans="1:12" ht="12.75" customHeight="1" x14ac:dyDescent="0.25">
      <c r="A23" s="123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megnevezés</v>
      </c>
      <c r="D24" s="76" t="str">
        <f>+Faworyt!D25</f>
        <v>db</v>
      </c>
      <c r="E24" s="76" t="str">
        <f>+Faworyt!E25</f>
        <v>db ár</v>
      </c>
      <c r="F24" s="16" t="str">
        <f>+Faworyt!F25</f>
        <v>ár összesen</v>
      </c>
      <c r="G24" s="16" t="str">
        <f>+Faworyt!G25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Ft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75" t="str">
        <f>+VLOOKUP(B28,cennik!A:G,2,FALSE)</f>
        <v>SEVROLL 10196 Focus felső görgő 18mm 2db</v>
      </c>
      <c r="D28" s="15">
        <f>IF((D41+D42)&gt;D4,0,D4-(D42+D41))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IF(F4=Ergo!M63,362316,229440)</f>
        <v>229440</v>
      </c>
      <c r="C29" s="23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támfalas kefe</v>
      </c>
      <c r="B30" s="170">
        <v>229433</v>
      </c>
      <c r="C30" s="47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Választható tartozékok:</v>
      </c>
      <c r="B33" s="170"/>
      <c r="C33" s="23"/>
      <c r="D33" s="371" t="str">
        <f>+Faworyt!D34</f>
        <v>adja be a db számot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Finomállító felső vezetéshez</v>
      </c>
      <c r="B34" s="170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>Finomállító</v>
      </c>
      <c r="B35" s="170">
        <f>IF(F4="Gemini",387424,89063)</f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ütközés csillapító MINI 25 kg-ig (pár)</v>
      </c>
      <c r="B36" s="170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Klipsz támfalas kefére</v>
      </c>
      <c r="B43" s="170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Összekötő profil H18- 3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összekötő T-profil 3 m / vájattal 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összekötő T-profil 3 m / peremmel 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FFL-ra 18 mm-3 m / peremmel 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Sarok elem  mini11x17mm - 3,00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Sarok elem K2 19x18mm - 2,35 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Sarok elem K2 19x18mm - 3,00 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Ennek a rendszernek műszaki rajza</v>
      </c>
      <c r="C59" s="36"/>
      <c r="D59" s="73" t="str">
        <f>+Faworyt!D61</f>
        <v>Összesen áfával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Ft</v>
      </c>
      <c r="J59" s="166"/>
      <c r="K59" s="166"/>
      <c r="L59" s="5"/>
    </row>
    <row r="60" spans="1:14" ht="12.75" customHeight="1" x14ac:dyDescent="0.25">
      <c r="A60" s="70" t="str">
        <f>System10!A67</f>
        <v>Az Ön megjegyzése:</v>
      </c>
      <c r="B60" s="712"/>
      <c r="C60" s="713"/>
      <c r="D60" s="713"/>
      <c r="E60" s="713"/>
      <c r="F60" s="713"/>
      <c r="G60" s="714"/>
      <c r="H60" s="5"/>
      <c r="L60" s="5"/>
    </row>
    <row r="61" spans="1:14" ht="12.75" customHeight="1" x14ac:dyDescent="0.25">
      <c r="A61" s="711" t="str">
        <f>profil!U15</f>
        <v/>
      </c>
      <c r="B61" s="697"/>
      <c r="C61" s="697"/>
      <c r="D61" s="697"/>
      <c r="E61" s="697"/>
      <c r="F61" s="697"/>
      <c r="G61" s="697"/>
      <c r="H61" s="697"/>
      <c r="L61" s="5"/>
    </row>
    <row r="62" spans="1:14" ht="12.75" customHeight="1" x14ac:dyDescent="0.25">
      <c r="A62" s="698" t="str">
        <f>IF(N62=1,texty!A215,IF(J62&gt;0,texty!A214,""))</f>
        <v>egyes tételek nem a kiválasztott hosszúságban készülnek</v>
      </c>
      <c r="B62" s="698"/>
      <c r="C62" s="698"/>
      <c r="D62" s="698"/>
      <c r="E62" s="698"/>
      <c r="F62" s="698"/>
      <c r="G62" s="698"/>
      <c r="H62" s="698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arany/sárgaréz</v>
      </c>
    </row>
    <row r="66" spans="12:12" ht="12.75" hidden="1" customHeight="1" x14ac:dyDescent="0.25">
      <c r="L66" s="4" t="str">
        <f>data!J17</f>
        <v>matt feket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 2 742 mm /")</f>
        <v>magasság / max. 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695"/>
      <c r="H7" s="695"/>
      <c r="I7" s="69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388">
        <f>B8+2</f>
        <v>-42</v>
      </c>
      <c r="C9" s="381"/>
      <c r="D9" s="7"/>
      <c r="E9" s="7"/>
      <c r="F9" s="7"/>
      <c r="G9" s="4" t="str">
        <f>Faworyt!G8</f>
        <v>Az ajtószárny maximális súlya 50 kg</v>
      </c>
      <c r="H9" s="5"/>
      <c r="L9" s="33"/>
      <c r="M9" s="32"/>
    </row>
    <row r="10" spans="1:16" ht="12.75" customHeight="1" x14ac:dyDescent="0.25">
      <c r="A10" s="154" t="str">
        <f>texty!A64</f>
        <v>Ennél a variációnál nem használható az  üveg/tükör kombináció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3" t="str">
        <f>IF(SUM(D38:D39)&gt;0,texty!A246,"")</f>
        <v/>
      </c>
      <c r="B11" s="683"/>
      <c r="C11" s="601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3"/>
      <c r="B12" s="683"/>
      <c r="C12" s="62"/>
      <c r="D12" s="7"/>
      <c r="H12" s="5"/>
      <c r="L12" s="5"/>
    </row>
    <row r="13" spans="1:16" ht="22.5" customHeight="1" x14ac:dyDescent="0.25">
      <c r="A13" s="683"/>
      <c r="B13" s="683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8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8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8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 árengedmény:</v>
      </c>
      <c r="H21" s="5"/>
      <c r="L21" s="5"/>
    </row>
    <row r="22" spans="1:12" ht="12.75" customHeight="1" x14ac:dyDescent="0.25">
      <c r="A22" s="123" t="str">
        <f>texty!A80</f>
        <v>Megrendelési kódok, árak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megnevezés</v>
      </c>
      <c r="D23" s="76" t="str">
        <f>+Faworyt!D25</f>
        <v>db</v>
      </c>
      <c r="E23" s="76" t="str">
        <f>+Faworyt!E25</f>
        <v>db ár</v>
      </c>
      <c r="F23" s="16" t="str">
        <f>+Faworyt!F25</f>
        <v>ár összesen</v>
      </c>
      <c r="G23" s="16" t="str">
        <f>+Faworyt!G25</f>
        <v>összesen nettó</v>
      </c>
      <c r="H23" s="16"/>
      <c r="I23" s="16" t="str">
        <f>texty!A29</f>
        <v>Megjegyzés:</v>
      </c>
      <c r="J23" s="16"/>
      <c r="L23" s="16"/>
    </row>
    <row r="24" spans="1:12" ht="12.75" customHeight="1" x14ac:dyDescent="0.25">
      <c r="A24" s="6" t="str">
        <f>+Faworyt!A26</f>
        <v>felső profil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Ft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Alsó profil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Takaró profil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Felső kocsi</v>
      </c>
      <c r="B27" s="66">
        <v>228023</v>
      </c>
      <c r="C27" s="475" t="str">
        <f>+VLOOKUP(B27,cennik!A:G,2,FALSE)</f>
        <v>SEVROLL 10196 Focus felső görgő 18mm 2db</v>
      </c>
      <c r="D27" s="15">
        <f>IF((D41+D40)&gt;D4,0,D4-(D40+D41))</f>
        <v>0</v>
      </c>
      <c r="E27" s="193">
        <f>+VLOOKUP(B27,cennik!A:G,3,FALSE)</f>
        <v>1547.9598100000001</v>
      </c>
      <c r="F27" s="86">
        <f t="shared" si="0"/>
        <v>0</v>
      </c>
      <c r="G27" s="87">
        <f>+F27*(100-G22)/100</f>
        <v>0</v>
      </c>
      <c r="H27" s="5" t="str">
        <f>cennik!B2</f>
        <v>Ft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Alsó kocsi</v>
      </c>
      <c r="B28" s="170">
        <f>IF(F4=M63,362316,229440)</f>
        <v>229440</v>
      </c>
      <c r="C28" s="475" t="str">
        <f>+VLOOKUP(B28,cennik!A:G,2,FALSE)</f>
        <v>SEVROLL 10198 alsó görgő WD 18C HI-TEC - 2db</v>
      </c>
      <c r="D28" s="15">
        <f>+D4</f>
        <v>0</v>
      </c>
      <c r="E28" s="193">
        <f>+VLOOKUP(B28,cennik!A:G,3,FALSE)</f>
        <v>2060.5293299999998</v>
      </c>
      <c r="F28" s="86">
        <f t="shared" si="0"/>
        <v>0</v>
      </c>
      <c r="G28" s="87">
        <f>+F28*(100-G22)/100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támfalas kefe</v>
      </c>
      <c r="B29" s="170">
        <v>89131</v>
      </c>
      <c r="C29" s="475" t="str">
        <f>+VLOOKUP(B29,cennik!A:G,2,FALSE)</f>
        <v>SEVROLL támfalas kefe öntapadó 6,7x4mm szürke</v>
      </c>
      <c r="D29" s="15">
        <f>CEILING((B4*D4*2/1000),1)</f>
        <v>0</v>
      </c>
      <c r="E29" s="193">
        <f>+VLOOKUP(B29,cennik!A:G,3,FALSE)</f>
        <v>89.639870000000002</v>
      </c>
      <c r="F29" s="86">
        <f t="shared" si="0"/>
        <v>0</v>
      </c>
      <c r="G29" s="87">
        <f>+F29*(100-G22)/100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Fogantyú profil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Választható tartozékok:</v>
      </c>
      <c r="B32" s="170"/>
      <c r="C32" s="23"/>
      <c r="D32" s="371" t="str">
        <f>+Faworyt!D34</f>
        <v>adja be a db számot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Finomállító felső vezetéshez</v>
      </c>
      <c r="B33" s="170">
        <v>298035</v>
      </c>
      <c r="C33" s="475" t="str">
        <f>+VLOOKUP(B33,cennik!A:G,2,FALSE)</f>
        <v>SEVROLL 20326 Fix Fix finomállító felső görgő-höz transzparens</v>
      </c>
      <c r="D33" s="27"/>
      <c r="E33" s="193">
        <f>+VLOOKUP(B33,cennik!A:G,3,FALSE)</f>
        <v>481.81545</v>
      </c>
      <c r="F33" s="99">
        <f>+E33*D33</f>
        <v>0</v>
      </c>
      <c r="G33" s="98">
        <f>+F33*(100-F22)/100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>Finomállító</v>
      </c>
      <c r="B34" s="170">
        <f>IF(F4="Gemini",387424,89063)</f>
        <v>89063</v>
      </c>
      <c r="C34" s="475" t="str">
        <f>+VLOOKUP(B34,cennik!A:G,2,FALSE)</f>
        <v>SEVROLL 20080 finomállító HI-TEC alsó görgőhöz</v>
      </c>
      <c r="D34" s="27"/>
      <c r="E34" s="193">
        <f>+VLOOKUP(B34,cennik!A:G,3,FALSE)</f>
        <v>123.01676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ütközés csillapító MINI 25 kg-ig (pár)</v>
      </c>
      <c r="B35" s="170">
        <v>318662</v>
      </c>
      <c r="C35" s="23" t="str">
        <f>+VLOOKUP(B35,cennik!A:G,2,FALSE)</f>
        <v>SEVROLL 20368-SV ütközés csillapító Mini SV25 (14-25kg)</v>
      </c>
      <c r="D35" s="278"/>
      <c r="E35" s="86">
        <f>+VLOOKUP(B35,cennik!A:G,3,FALSE)</f>
        <v>9041.7265599999992</v>
      </c>
      <c r="F35" s="91">
        <f>+CEILING(D35,1)*E35</f>
        <v>0</v>
      </c>
      <c r="G35" s="98">
        <f>+F35*(100-F22)/100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ütközés csillapító MINI 40 kg-ig (pár)</v>
      </c>
      <c r="B36" s="66">
        <v>283956</v>
      </c>
      <c r="C36" s="23" t="str">
        <f>+VLOOKUP(B36,cennik!A:G,2,FALSE)</f>
        <v>SEVROLL 20258-SV ütközés csillapító  Mini SV40 (25 - 40kg)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+F36*(100-F22)/100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ütközés csillapító MINI 60 kg-ig (pár)</v>
      </c>
      <c r="B37" s="66">
        <v>351743</v>
      </c>
      <c r="C37" s="23" t="str">
        <f>+VLOOKUP(B37,cennik!A:G,2,FALSE)</f>
        <v>SEVROLL 20339-SV ütközés csillapító Mini SV60 (40 - 60kg)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+F37*(100-F22)/100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csillapító a középső szárnyra 25 kg-ig</v>
      </c>
      <c r="B38" s="66">
        <v>318663</v>
      </c>
      <c r="C38" s="23" t="str">
        <f>+VLOOKUP(B38,cennik!A:G,2,FALSE)</f>
        <v>SEVROLL 20363-SV csillapító Central 10/18mm kétoldalú 25kg</v>
      </c>
      <c r="D38" s="278"/>
      <c r="E38" s="86">
        <f>+VLOOKUP(B38,cennik!A:G,3,FALSE)</f>
        <v>19364.876939999998</v>
      </c>
      <c r="F38" s="91">
        <f>+CEILING(D38,1)*E38</f>
        <v>0</v>
      </c>
      <c r="G38" s="98">
        <f>+F38*(100-F22)/100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csillapító a középső szárnyra 40 kg-ig</v>
      </c>
      <c r="B39" s="66">
        <v>283955</v>
      </c>
      <c r="C39" s="23" t="str">
        <f>+VLOOKUP(B39,cennik!A:G,2,FALSE)</f>
        <v>SEVROLL20319-SV  csillapító Central 10 / 18mm kétoldalas 25-40kg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+F39*(100-F22)/100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Ütközés tompító (pár) 25 kg</v>
      </c>
      <c r="B40" s="66">
        <v>227185</v>
      </c>
      <c r="C40" s="475" t="str">
        <f>+VLOOKUP(B40,cennik!A:G,2,FALSE)</f>
        <v>K-SEVROLL ütközés csillapító 10/18mm 14-25kg J+B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Ütközés tompító (pár) 50 kg</v>
      </c>
      <c r="B41" s="66">
        <v>227187</v>
      </c>
      <c r="C41" s="475" t="str">
        <f>+VLOOKUP(B41,cennik!A:G,2,FALSE)</f>
        <v>K-SEVROLL ütközés csillapító 10/18mm 25-50kg J+B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Klipsz támfalas kefére</v>
      </c>
      <c r="B42" s="170">
        <v>223569</v>
      </c>
      <c r="C42" s="475" t="str">
        <f>+VLOOKUP(B42,cennik!A:G,2,FALSE)</f>
        <v>SEVROLL 20223 kapocs támfalas keféhez</v>
      </c>
      <c r="D42" s="27"/>
      <c r="E42" s="193">
        <f>+VLOOKUP(B42,cennik!A:G,3,FALSE)</f>
        <v>30.754100000000001</v>
      </c>
      <c r="F42" s="99">
        <f t="shared" si="1"/>
        <v>0</v>
      </c>
      <c r="G42" s="98">
        <f>+F42*(100-F22)/100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Összekötő profil H18- 3 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összekötő T-profil 3 m / vájattal 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összekötő T-profil 3 m / peremmel 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FFL-ra 18 mm-3 m / sima 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FFL-ra 18 mm-3 m / peremmel 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Sarok elem mini 11x17mm - 1,7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Sarok elem mini 11x17mm - 2,35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Sarok elem  mini11x17mm - 3,00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Sarok elem K2 t19x18mm - 1,7 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Sarok elem K2 19x18mm - 2,35 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Sarok elem K2 19x18mm - 3,00 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tolóajtó zár</v>
      </c>
      <c r="B54" s="66">
        <v>216363</v>
      </c>
      <c r="C54" s="475" t="str">
        <f>+VLOOKUP(B54,cennik!A:G,2,FALSE)</f>
        <v>SEVROLL 20356 tolóajtó zár 10/18mm</v>
      </c>
      <c r="D54" s="27"/>
      <c r="E54" s="193">
        <f>+VLOOKUP(B54,cennik!A:G,3,FALSE)</f>
        <v>6243.0970299999999</v>
      </c>
      <c r="F54" s="99">
        <f t="shared" si="1"/>
        <v>0</v>
      </c>
      <c r="G54" s="98">
        <f>+F54*(100-F22)/100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Porkefe (méterek) becsúsztatható</v>
      </c>
      <c r="B55" s="66">
        <v>308639</v>
      </c>
      <c r="C55" s="23" t="str">
        <f>+VLOOKUP(B55,cennik!A:G,2,FALSE)</f>
        <v>SEVROLL porfogó kefe öntapadó 6,7x13mm szürke</v>
      </c>
      <c r="D55" s="27"/>
      <c r="E55" s="193">
        <f>+VLOOKUP(B55,cennik!A:G,3,FALSE)</f>
        <v>149.22027</v>
      </c>
      <c r="F55" s="99">
        <f t="shared" si="1"/>
        <v>0</v>
      </c>
      <c r="G55" s="98">
        <f>+F55*(100-F22)/100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További tartozékok tolóajtó rendszerekhez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Ennek a rendszernek műszaki rajza</v>
      </c>
      <c r="C58" s="36"/>
      <c r="D58" s="73" t="str">
        <f>+Faworyt!D61</f>
        <v>Összesen áfával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Ft</v>
      </c>
      <c r="I58" s="4"/>
      <c r="L58" s="5"/>
    </row>
    <row r="59" spans="1:14" ht="12.75" customHeight="1" x14ac:dyDescent="0.25">
      <c r="A59" s="70" t="str">
        <f>System10!A67</f>
        <v>Az Ön megjegyzése:</v>
      </c>
      <c r="B59" s="712"/>
      <c r="C59" s="713"/>
      <c r="D59" s="713"/>
      <c r="E59" s="713"/>
      <c r="F59" s="713"/>
      <c r="G59" s="714"/>
      <c r="H59" s="5"/>
      <c r="L59" s="5"/>
    </row>
    <row r="60" spans="1:14" ht="12.75" customHeight="1" x14ac:dyDescent="0.25">
      <c r="A60" s="711" t="str">
        <f>profil!U15</f>
        <v/>
      </c>
      <c r="B60" s="697"/>
      <c r="C60" s="697"/>
      <c r="D60" s="697"/>
      <c r="E60" s="697"/>
      <c r="F60" s="697"/>
      <c r="G60" s="697"/>
      <c r="H60" s="697"/>
      <c r="L60" s="5"/>
    </row>
    <row r="61" spans="1:14" ht="12.75" customHeight="1" x14ac:dyDescent="0.25">
      <c r="A61" s="698" t="str">
        <f>IF(N61=1,texty!A215,IF(J61&gt;0,texty!A214,""))</f>
        <v>egyes tételek nem a kiválasztott hosszúságban készülnek</v>
      </c>
      <c r="B61" s="698"/>
      <c r="C61" s="698"/>
      <c r="D61" s="698"/>
      <c r="E61" s="698"/>
      <c r="F61" s="698"/>
      <c r="G61" s="698"/>
      <c r="H61" s="698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ezüst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 2 742 mm /")</f>
        <v>magasság / max. 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ajtó szárny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fogantyú profil hossza (+2mm)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Ennél a variációnál nem használható az  üveg/tükör kombináció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3" t="str">
        <f>IF(SUM(D37:D38)&gt;0,texty!A246,"")</f>
        <v/>
      </c>
      <c r="B11" s="683"/>
      <c r="C11" s="602" t="str">
        <f>texty!A78</f>
        <v>Utólagos levonás a kiszámított magasságból  a betéteknél az elválasztó profilok használatakor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3"/>
      <c r="B12" s="683"/>
      <c r="C12" s="62"/>
      <c r="D12" s="7"/>
      <c r="H12" s="5"/>
      <c r="L12" s="5"/>
    </row>
    <row r="13" spans="1:16" ht="21.75" customHeight="1" x14ac:dyDescent="0.25">
      <c r="A13" s="683"/>
      <c r="B13" s="683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8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8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 árengedmény:</v>
      </c>
      <c r="H20" s="5"/>
      <c r="L20" s="5"/>
    </row>
    <row r="21" spans="1:12" ht="12.75" customHeight="1" x14ac:dyDescent="0.25">
      <c r="A21" s="123" t="str">
        <f>texty!A80</f>
        <v>Megrendelési kódok, árak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megnevezés</v>
      </c>
      <c r="D22" s="76" t="str">
        <f>+Faworyt!D25</f>
        <v>db</v>
      </c>
      <c r="E22" s="76" t="str">
        <f>+Faworyt!E25</f>
        <v>db ár</v>
      </c>
      <c r="F22" s="16" t="str">
        <f>+Faworyt!F25</f>
        <v>ár összesen</v>
      </c>
      <c r="G22" s="16" t="str">
        <f>+Faworyt!G25</f>
        <v>összesen nettó</v>
      </c>
      <c r="H22" s="16"/>
      <c r="I22" s="16" t="str">
        <f>texty!A29</f>
        <v>Megjegyzés:</v>
      </c>
      <c r="J22" s="16"/>
      <c r="L22" s="16"/>
    </row>
    <row r="23" spans="1:12" ht="12.75" customHeight="1" x14ac:dyDescent="0.25">
      <c r="A23" s="6" t="str">
        <f>+Faworyt!A26</f>
        <v>felső profil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Ft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Alsó profil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Ft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Takaró profil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Felső kocsi</v>
      </c>
      <c r="B26" s="66">
        <v>228023</v>
      </c>
      <c r="C26" s="475" t="str">
        <f>+VLOOKUP(B26,cennik!A:G,2,FALSE)</f>
        <v>SEVROLL 10196 Focus felső görgő 18mm 2db</v>
      </c>
      <c r="D26" s="15">
        <f>IF((D40+D39)&gt;D4,0,D4-(D39+D40))</f>
        <v>0</v>
      </c>
      <c r="E26" s="193">
        <f>+VLOOKUP(B26,cennik!A:G,3,FALSE)</f>
        <v>1547.9598100000001</v>
      </c>
      <c r="F26" s="86">
        <f t="shared" si="0"/>
        <v>0</v>
      </c>
      <c r="G26" s="87">
        <f>+F26*(100-G21)/100</f>
        <v>0</v>
      </c>
      <c r="H26" s="5" t="str">
        <f>cennik!B2</f>
        <v>Ft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Alsó kocsi</v>
      </c>
      <c r="B27" s="170">
        <f>IF(F4=M62,362316,229440)</f>
        <v>229440</v>
      </c>
      <c r="C27" s="475" t="str">
        <f>+VLOOKUP(B27,cennik!A:G,2,FALSE)</f>
        <v>SEVROLL 10198 alsó görgő WD 18C HI-TEC - 2db</v>
      </c>
      <c r="D27" s="15">
        <f>+D4</f>
        <v>0</v>
      </c>
      <c r="E27" s="193">
        <f>+VLOOKUP(B27,cennik!A:G,3,FALSE)</f>
        <v>2060.5293299999998</v>
      </c>
      <c r="F27" s="86">
        <f t="shared" si="0"/>
        <v>0</v>
      </c>
      <c r="G27" s="87">
        <f>+F27*(100-G21)/100</f>
        <v>0</v>
      </c>
      <c r="H27" s="5" t="str">
        <f>cennik!B2</f>
        <v>Ft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támfalas kefe</v>
      </c>
      <c r="B28" s="170">
        <v>229433</v>
      </c>
      <c r="C28" s="475" t="str">
        <f>+VLOOKUP(B28,cennik!A:G,2,FALSE)</f>
        <v>SEVROLL támfalas kefe becsúsztatható 4,8x4mm szürke</v>
      </c>
      <c r="D28" s="15">
        <f>CEILING((B4*D4*2/1000),1)</f>
        <v>0</v>
      </c>
      <c r="E28" s="193">
        <f>+VLOOKUP(B28,cennik!A:G,3,FALSE)</f>
        <v>35.639870000000002</v>
      </c>
      <c r="F28" s="86">
        <f t="shared" si="0"/>
        <v>0</v>
      </c>
      <c r="G28" s="87">
        <f>+F28*(100-G21)/100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Fogantyú profil</v>
      </c>
      <c r="B29" s="170">
        <v>233428</v>
      </c>
      <c r="C29" s="475" t="str">
        <f>+VLOOKUP(B29,cennik!A:G,2,FALSE)</f>
        <v>Sevroll 85003 Fiona II fogantyú profil 2,7m ezüst</v>
      </c>
      <c r="D29" s="15">
        <f>IF(B9&lt;=1285,D4*2/2,D4*2)</f>
        <v>0</v>
      </c>
      <c r="E29" s="193" t="e">
        <f>+VLOOKUP(B29,cennik!A:G,3,FALSE)</f>
        <v>#N/A</v>
      </c>
      <c r="F29" s="86" t="e">
        <f t="shared" si="0"/>
        <v>#N/A</v>
      </c>
      <c r="G29" s="87" t="e">
        <f>+F29*(100-G21)/100</f>
        <v>#N/A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Választható tartozékok:</v>
      </c>
      <c r="B31" s="170"/>
      <c r="C31" s="23"/>
      <c r="D31" s="371" t="str">
        <f>+Faworyt!D34</f>
        <v>adja be a db számot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Finomállító felső vezetéshez</v>
      </c>
      <c r="B32" s="170">
        <v>298035</v>
      </c>
      <c r="C32" s="475" t="str">
        <f>+VLOOKUP(B32,cennik!A:G,2,FALSE)</f>
        <v>SEVROLL 20326 Fix Fix finomállító felső görgő-höz transzparens</v>
      </c>
      <c r="D32" s="27"/>
      <c r="E32" s="193">
        <f>+VLOOKUP(B32,cennik!A:G,3,FALSE)</f>
        <v>481.81545</v>
      </c>
      <c r="F32" s="99">
        <f>+E32*D32</f>
        <v>0</v>
      </c>
      <c r="G32" s="98">
        <f>+F32*(100-F21)/100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>Finomállító</v>
      </c>
      <c r="B33" s="170">
        <f>IF(F4="Gemini",387424,89063)</f>
        <v>89063</v>
      </c>
      <c r="C33" s="475" t="str">
        <f>+VLOOKUP(B33,cennik!A:G,2,FALSE)</f>
        <v>SEVROLL 20080 finomállító HI-TEC alsó görgőhöz</v>
      </c>
      <c r="D33" s="27"/>
      <c r="E33" s="193">
        <f>+VLOOKUP(B33,cennik!A:G,3,FALSE)</f>
        <v>123.01676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ütközés csillapító MINI 25 kg-ig (pár)</v>
      </c>
      <c r="B34" s="170">
        <v>318662</v>
      </c>
      <c r="C34" s="23" t="str">
        <f>+VLOOKUP(B34,cennik!A:G,2,FALSE)</f>
        <v>SEVROLL 20368-SV ütközés csillapító Mini SV25 (14-25kg)</v>
      </c>
      <c r="D34" s="278"/>
      <c r="E34" s="86">
        <f>+VLOOKUP(B34,cennik!A:G,3,FALSE)</f>
        <v>9041.7265599999992</v>
      </c>
      <c r="F34" s="91">
        <f>+CEILING(D34,1)*E34</f>
        <v>0</v>
      </c>
      <c r="G34" s="98">
        <f>+F34*(100-F21)/100</f>
        <v>0</v>
      </c>
      <c r="H34" s="22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ütközés csillapító MINI 40 kg-ig (pár)</v>
      </c>
      <c r="B35" s="66">
        <v>283956</v>
      </c>
      <c r="C35" s="23" t="str">
        <f>+VLOOKUP(B35,cennik!A:G,2,FALSE)</f>
        <v>SEVROLL 20258-SV ütközés csillapító  Mini SV40 (25 - 40kg)</v>
      </c>
      <c r="D35" s="278"/>
      <c r="E35" s="86">
        <f>+VLOOKUP(B35,cennik!A:G,3,FALSE)</f>
        <v>9041.7265599999992</v>
      </c>
      <c r="F35" s="91">
        <f>+CEILING(D35,1)*E35</f>
        <v>0</v>
      </c>
      <c r="G35" s="98">
        <f>+F35*(100-F21)/100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ütközés csillapító MINI 60 kg-ig (pár)</v>
      </c>
      <c r="B36" s="66">
        <v>351743</v>
      </c>
      <c r="C36" s="23" t="str">
        <f>+VLOOKUP(B36,cennik!A:G,2,FALSE)</f>
        <v>SEVROLL 20339-SV ütközés csillapító Mini SV60 (40 - 60kg)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+F36*(100-F21)/100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csillapító a középső szárnyra 25 kg-ig</v>
      </c>
      <c r="B37" s="66">
        <v>318663</v>
      </c>
      <c r="C37" s="23" t="str">
        <f>+VLOOKUP(B37,cennik!A:G,2,FALSE)</f>
        <v>SEVROLL 20363-SV csillapító Central 10/18mm kétoldalú 25kg</v>
      </c>
      <c r="D37" s="278"/>
      <c r="E37" s="86">
        <f>+VLOOKUP(B37,cennik!A:G,3,FALSE)</f>
        <v>19364.876939999998</v>
      </c>
      <c r="F37" s="91">
        <f>+CEILING(D37,1)*E37</f>
        <v>0</v>
      </c>
      <c r="G37" s="98">
        <f>+F37*(100-F21)/100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csillapító a középső szárnyra 40 kg-ig</v>
      </c>
      <c r="B38" s="66">
        <v>283955</v>
      </c>
      <c r="C38" s="23" t="str">
        <f>+VLOOKUP(B38,cennik!A:G,2,FALSE)</f>
        <v>SEVROLL20319-SV  csillapító Central 10 / 18mm kétoldalas 25-40kg</v>
      </c>
      <c r="D38" s="278"/>
      <c r="E38" s="86">
        <f>+VLOOKUP(B38,cennik!A:G,3,FALSE)</f>
        <v>19364.876939999998</v>
      </c>
      <c r="F38" s="91">
        <f>+CEILING(D38,1)*E38</f>
        <v>0</v>
      </c>
      <c r="G38" s="98">
        <f>+F38*(100-F21)/100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Ütközés tompító (pár) 25 kg</v>
      </c>
      <c r="B39" s="66">
        <v>227185</v>
      </c>
      <c r="C39" s="475" t="str">
        <f>+VLOOKUP(B39,cennik!A:G,2,FALSE)</f>
        <v>K-SEVROLL ütközés csillapító 10/18mm 14-25kg J+B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Ütközés tompító (pár) 50 kg</v>
      </c>
      <c r="B40" s="66">
        <v>227187</v>
      </c>
      <c r="C40" s="475" t="str">
        <f>+VLOOKUP(B40,cennik!A:G,2,FALSE)</f>
        <v>K-SEVROLL ütközés csillapító 10/18mm 25-50kg J+B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Klipsz támfalas kefére</v>
      </c>
      <c r="B41" s="170">
        <v>223569</v>
      </c>
      <c r="C41" s="475" t="str">
        <f>+VLOOKUP(B41,cennik!A:G,2,FALSE)</f>
        <v>SEVROLL 20223 kapocs támfalas keféhez</v>
      </c>
      <c r="D41" s="27"/>
      <c r="E41" s="193">
        <f>+VLOOKUP(B41,cennik!A:G,3,FALSE)</f>
        <v>30.754100000000001</v>
      </c>
      <c r="F41" s="99">
        <f t="shared" si="1"/>
        <v>0</v>
      </c>
      <c r="G41" s="98">
        <f>+F41*(100-F21)/100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Összekötő profil H18- 3 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összekötő T-profil 3 m / vájattal 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összekötő T-profil 3 m / peremmel 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FFL-ra 18 mm-3 m / sima 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FFL-ra 18 mm-3 m / peremmel 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Sarok elem mini 11x17mm - 1,7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Sarok elem mini 11x17mm - 2,35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Sarok elem  mini11x17mm - 3,00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Sarok elem K2 t19x18mm - 1,7 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Sarok elem K2 19x18mm - 2,35 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Sarok elem K2 19x18mm - 3,00 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tolóajtó zár</v>
      </c>
      <c r="B53" s="66">
        <v>216363</v>
      </c>
      <c r="C53" s="475" t="str">
        <f>+VLOOKUP(B53,cennik!A:G,2,FALSE)</f>
        <v>SEVROLL 20356 tolóajtó zár 10/18mm</v>
      </c>
      <c r="D53" s="27"/>
      <c r="E53" s="193">
        <f>+VLOOKUP(B53,cennik!A:G,3,FALSE)</f>
        <v>6243.0970299999999</v>
      </c>
      <c r="F53" s="99">
        <f t="shared" si="1"/>
        <v>0</v>
      </c>
      <c r="G53" s="98">
        <f>+F53*(100-F21)/100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Porkefe (méterek) becsúsztatható</v>
      </c>
      <c r="B54" s="66">
        <v>308639</v>
      </c>
      <c r="C54" s="23" t="str">
        <f>+VLOOKUP(B54,cennik!A:G,2,FALSE)</f>
        <v>SEVROLL porfogó kefe öntapadó 6,7x13mm szürke</v>
      </c>
      <c r="D54" s="27"/>
      <c r="E54" s="193">
        <f>+VLOOKUP(B54,cennik!A:G,3,FALSE)</f>
        <v>149.22027</v>
      </c>
      <c r="F54" s="99">
        <f t="shared" si="1"/>
        <v>0</v>
      </c>
      <c r="G54" s="98">
        <f>+F54*(100-F21)/100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További tartozékok tolóajtó rendszerekhez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Ennek a rendszernek műszaki rajza</v>
      </c>
      <c r="C57" s="36"/>
      <c r="D57" s="73" t="str">
        <f>+Faworyt!D61</f>
        <v>Összesen áfával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Ft</v>
      </c>
      <c r="L57" s="5"/>
    </row>
    <row r="58" spans="1:14" ht="12.75" customHeight="1" x14ac:dyDescent="0.25">
      <c r="A58" s="70" t="str">
        <f>System10!A67</f>
        <v>Az Ön megjegyzése:</v>
      </c>
      <c r="B58" s="712"/>
      <c r="C58" s="713"/>
      <c r="D58" s="713"/>
      <c r="E58" s="713"/>
      <c r="F58" s="713"/>
      <c r="G58" s="714"/>
      <c r="H58" s="5"/>
      <c r="L58" s="5"/>
    </row>
    <row r="59" spans="1:14" ht="12.75" customHeight="1" x14ac:dyDescent="0.25">
      <c r="A59" s="711" t="str">
        <f>profil!U15</f>
        <v/>
      </c>
      <c r="B59" s="697"/>
      <c r="C59" s="697"/>
      <c r="D59" s="697"/>
      <c r="E59" s="697"/>
      <c r="F59" s="697"/>
      <c r="G59" s="697"/>
      <c r="H59" s="697"/>
      <c r="L59" s="5"/>
    </row>
    <row r="60" spans="1:14" ht="12.75" customHeight="1" x14ac:dyDescent="0.25">
      <c r="A60" s="698" t="str">
        <f>IF(N60=1,texty!A215,IF(J60&gt;0,texty!A214,""))</f>
        <v>egyes tételek nem a kiválasztott hosszúságban készülnek</v>
      </c>
      <c r="B60" s="698"/>
      <c r="C60" s="698"/>
      <c r="D60" s="698"/>
      <c r="E60" s="698"/>
      <c r="F60" s="698"/>
      <c r="G60" s="698"/>
      <c r="H60" s="698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ezüst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2024 Bútorvasalat katalógus  old. 7.41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318" t="str">
        <f>texty!A38</f>
        <v>alsó vezetés típusa</v>
      </c>
      <c r="G3" s="5"/>
      <c r="H3" s="5"/>
      <c r="L3" s="5"/>
    </row>
    <row r="4" spans="1:16" ht="18" customHeight="1" x14ac:dyDescent="0.25">
      <c r="A4" s="9" t="str">
        <f>texty!A70</f>
        <v>A SZEKRÉNY BELSŐ MÉRETE</v>
      </c>
      <c r="B4" s="52"/>
      <c r="C4" s="52"/>
      <c r="D4" s="20"/>
      <c r="E4" s="20"/>
      <c r="F4" s="353"/>
      <c r="G4" s="695"/>
      <c r="H4" s="695"/>
      <c r="I4" s="695"/>
      <c r="K4" s="173"/>
      <c r="L4" s="7"/>
    </row>
    <row r="5" spans="1:16" ht="18" customHeight="1" x14ac:dyDescent="0.25">
      <c r="A5" s="9"/>
      <c r="B5" s="715" t="str">
        <f>texty!A45</f>
        <v>töltsék ki ezt az 5 sort !!! Adatok mm-ben</v>
      </c>
      <c r="C5" s="715"/>
      <c r="D5" s="715"/>
      <c r="E5" s="715"/>
      <c r="F5" s="364"/>
      <c r="G5" s="695"/>
      <c r="H5" s="695"/>
      <c r="I5" s="69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Az ajtó szárny: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fogantyú profil hossza (+2mm)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Az ajtószárny max. nagysága  tükörrel 2400x700 mm.</v>
      </c>
      <c r="C12" s="80"/>
      <c r="D12" s="7"/>
      <c r="H12" s="5"/>
      <c r="L12" s="5"/>
    </row>
    <row r="13" spans="1:16" ht="26.4" x14ac:dyDescent="0.25">
      <c r="A13" s="683" t="str">
        <f>IF(SUM(D39:D40)&gt;0,texty!A246,"")</f>
        <v/>
      </c>
      <c r="B13" s="683"/>
      <c r="C13" s="605" t="str">
        <f>texty!A78</f>
        <v>Utólagos levonás a kiszámított magasságból  a betéteknél az elválasztó profilok használatakor</v>
      </c>
      <c r="D13" s="7"/>
      <c r="G13" s="5"/>
      <c r="L13" s="31"/>
    </row>
    <row r="14" spans="1:16" ht="32.25" customHeight="1" x14ac:dyDescent="0.25">
      <c r="A14" s="683"/>
      <c r="B14" s="683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8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8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8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8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 árengedmény:</v>
      </c>
      <c r="H22" s="5"/>
      <c r="L22" s="5"/>
    </row>
    <row r="23" spans="1:12" ht="12.75" customHeight="1" x14ac:dyDescent="0.25">
      <c r="A23" s="12" t="str">
        <f>texty!A80</f>
        <v>Megrendelési kódok, árak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megnevezés</v>
      </c>
      <c r="D24" s="76" t="str">
        <f>+System10!D27</f>
        <v>db</v>
      </c>
      <c r="E24" s="76" t="str">
        <f>+System10!E27</f>
        <v>db ár</v>
      </c>
      <c r="F24" s="16" t="str">
        <f>+System10!F27</f>
        <v>ár összesen</v>
      </c>
      <c r="G24" s="16" t="str">
        <f>+System10!G27</f>
        <v>összesen nettó</v>
      </c>
      <c r="H24" s="16"/>
      <c r="I24" s="16" t="str">
        <f>texty!A29</f>
        <v>Megjegyzés:</v>
      </c>
      <c r="J24" s="16"/>
      <c r="L24" s="16"/>
    </row>
    <row r="25" spans="1:12" ht="12.75" customHeight="1" x14ac:dyDescent="0.25">
      <c r="A25" s="6" t="str">
        <f>+Faworyt!A26</f>
        <v>felső profil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Alsó profil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Takaró profil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Felső kocsi</v>
      </c>
      <c r="B28" s="66">
        <v>228023</v>
      </c>
      <c r="C28" s="465" t="str">
        <f>+VLOOKUP(B28,cennik!A:G,2,FALSE)</f>
        <v>SEVROLL 10196 Focus felső görgő 18mm 2db</v>
      </c>
      <c r="D28" s="15">
        <f>IF((D42+D41)&gt;D4,0,D4-(D41+D42))</f>
        <v>0</v>
      </c>
      <c r="E28" s="193">
        <f>+VLOOKUP(B28,cennik!A:G,3,FALSE)</f>
        <v>1547.9598100000001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Alsó kocsi</v>
      </c>
      <c r="B29" s="170">
        <f>IF(F4=M62,362316,229440)</f>
        <v>229440</v>
      </c>
      <c r="C29" s="465" t="str">
        <f>+VLOOKUP(B29,cennik!A:G,2,FALSE)</f>
        <v>SEVROLL 10198 alsó görgő WD 18C HI-TEC - 2db</v>
      </c>
      <c r="D29" s="15">
        <f>+D4</f>
        <v>0</v>
      </c>
      <c r="E29" s="193">
        <f>+VLOOKUP(B29,cennik!A:G,3,FALSE)</f>
        <v>2060.5293299999998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támfalas kefe</v>
      </c>
      <c r="B30" s="170">
        <v>229433</v>
      </c>
      <c r="C30" s="465" t="str">
        <f>+VLOOKUP(B30,cennik!A:G,2,FALSE)</f>
        <v>SEVROLL támfalas kefe becsúsztatható 4,8x4mm szürke</v>
      </c>
      <c r="D30" s="15">
        <f>CEILING((B4*D4*2/1000),1)</f>
        <v>0</v>
      </c>
      <c r="E30" s="193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Fogantyú profil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Választható tartozékok:</v>
      </c>
      <c r="B33" s="114"/>
      <c r="C33" s="483"/>
      <c r="D33" s="370" t="str">
        <f>Faworyt!D34</f>
        <v>adja be a db számot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Finomállító felső vezetéshez</v>
      </c>
      <c r="B34" s="170">
        <v>298035</v>
      </c>
      <c r="C34" s="46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+F34*(100-G23)/100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>Finomállító</v>
      </c>
      <c r="B35" s="170">
        <f>IF(F4="Gemini",387424,89063)</f>
        <v>89063</v>
      </c>
      <c r="C35" s="46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ütközés csillapító MINI 25 kg-ig (pár)</v>
      </c>
      <c r="B36" s="170">
        <v>318662</v>
      </c>
      <c r="C36" s="467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+F36*(100-G23)/100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ütközés csillapító MINI 40 kg-ig (pár)</v>
      </c>
      <c r="B37" s="66">
        <v>283956</v>
      </c>
      <c r="C37" s="467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+F37*(100-G23)/100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ütközés csillapító MINI 60 kg-ig (pár)</v>
      </c>
      <c r="B38" s="66">
        <v>351743</v>
      </c>
      <c r="C38" s="467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+F38*(100-G23)/100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csillapító a középső szárnyra 25 kg-ig</v>
      </c>
      <c r="B39" s="66">
        <v>318663</v>
      </c>
      <c r="C39" s="467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+F39*(100-G23)/100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csillapító a középső szárnyra 40 kg-ig</v>
      </c>
      <c r="B40" s="66">
        <v>283955</v>
      </c>
      <c r="C40" s="467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+F40*(100-G23)/100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Ütközés tompító (pár) 25 kg</v>
      </c>
      <c r="B41" s="66">
        <v>227185</v>
      </c>
      <c r="C41" s="46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Ütközés tompító (pár) 50 kg</v>
      </c>
      <c r="B42" s="66">
        <v>227187</v>
      </c>
      <c r="C42" s="46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Klipsz támfalas kefére</v>
      </c>
      <c r="B43" s="170">
        <v>223569</v>
      </c>
      <c r="C43" s="46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+F43*(100-G23)/100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Összekötő profil H18- 3 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összekötő T-profil 3 m / vájattal 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összekötő T-profil 3 m / peremmel 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FFL-ra 18 mm-3 m / sima 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FFL-ra 18 mm-3 m / peremmel 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Sarok elem mini 11x17mm - 1,7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Sarok elem mini 11x17mm - 2,35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Sarok elem  mini11x17mm - 3,00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Sarok elem K2 t19x18mm - 1,7 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Sarok elem K2 19x18mm - 2,35 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Sarok elem K2 19x18mm - 3,00 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170">
        <v>308631</v>
      </c>
      <c r="C55" s="46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tolóajtó zár</v>
      </c>
      <c r="B56" s="66">
        <v>216363</v>
      </c>
      <c r="C56" s="46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+F56*(100-G23)/100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Porkefe (méterek) becsúsztatható</v>
      </c>
      <c r="B57" s="66">
        <v>308639</v>
      </c>
      <c r="C57" s="467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+F57*(100-G23)/100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Ennek a rendszernek műszaki rajza</v>
      </c>
      <c r="B60" s="15"/>
      <c r="C60" s="23"/>
      <c r="D60" s="71" t="str">
        <f>Faworyt!D61</f>
        <v>Összesen áfával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Ft</v>
      </c>
      <c r="L60" s="5"/>
    </row>
    <row r="61" spans="1:14" ht="12.75" customHeight="1" x14ac:dyDescent="0.25">
      <c r="A61" s="70" t="str">
        <f>System10!A67</f>
        <v>Az Ön megjegyzése:</v>
      </c>
      <c r="B61" s="712"/>
      <c r="C61" s="713"/>
      <c r="D61" s="713"/>
      <c r="E61" s="713"/>
      <c r="F61" s="713"/>
      <c r="G61" s="714"/>
      <c r="H61" s="5"/>
      <c r="L61" s="5"/>
    </row>
    <row r="62" spans="1:14" ht="12.75" customHeight="1" x14ac:dyDescent="0.25">
      <c r="A62" s="711" t="str">
        <f>profil!U15</f>
        <v/>
      </c>
      <c r="B62" s="697"/>
      <c r="C62" s="697"/>
      <c r="D62" s="697"/>
      <c r="E62" s="697"/>
      <c r="F62" s="697"/>
      <c r="G62" s="697"/>
      <c r="H62" s="697"/>
      <c r="L62" s="5" t="str">
        <f>texty!A128</f>
        <v>ezüst</v>
      </c>
      <c r="M62" s="19" t="s">
        <v>968</v>
      </c>
    </row>
    <row r="63" spans="1:14" ht="12.75" customHeight="1" x14ac:dyDescent="0.25">
      <c r="A63" s="698" t="str">
        <f>IF(N63=1,texty!A215,IF(J63&gt;0,texty!A214,""))</f>
        <v>egyes tételek nem a kiválasztott hosszúságban készülnek</v>
      </c>
      <c r="B63" s="698"/>
      <c r="C63" s="698"/>
      <c r="D63" s="698"/>
      <c r="E63" s="698"/>
      <c r="F63" s="698"/>
      <c r="G63" s="698"/>
      <c r="H63" s="698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"/>
      <c r="G4" s="695"/>
      <c r="H4" s="695"/>
      <c r="I4" s="695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töltsék ki ezt a 4 sort !!! Adatok mm-ben</v>
      </c>
      <c r="C5" s="715"/>
      <c r="D5" s="715"/>
      <c r="E5" s="715"/>
      <c r="F5" s="366"/>
      <c r="G5" s="695"/>
      <c r="H5" s="695"/>
      <c r="I5" s="695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M6" s="21"/>
      <c r="R6" s="684"/>
      <c r="S6" s="684"/>
      <c r="T6" s="684"/>
      <c r="U6" s="68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84"/>
      <c r="S7" s="684"/>
      <c r="T7" s="684"/>
      <c r="U7" s="684"/>
    </row>
    <row r="8" spans="1:21" ht="12.75" customHeight="1" x14ac:dyDescent="0.25">
      <c r="A8" s="9" t="str">
        <f>texty!A72</f>
        <v>a betét mérete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Az ajtószárny maximális súlya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alsó/felső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fogantyú profil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Ennél a variációnál nem használható az  üveg/tükör kombináció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3" t="str">
        <f>IF(SUM(D39:D40)&gt;0,texty!A246,"")</f>
        <v/>
      </c>
      <c r="B12" s="683"/>
      <c r="C12" s="606" t="str">
        <f>texty!A78</f>
        <v>Utólagos levonás a kiszámított magasságból  a betéteknél az elválasztó profilok használatakor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3"/>
      <c r="B13" s="683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IF((D41+D42)&gt;D4,0,D4-(D42+D41))</f>
        <v>0</v>
      </c>
      <c r="E28" s="86">
        <f>+VLOOKUP(B28,cennik!A:G,3,FALSE)</f>
        <v>2839.63526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1937.5129899999999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0" t="str">
        <f>+Faworyt!D34</f>
        <v>adja be a db számot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tolóajtó zár</v>
      </c>
      <c r="B55" s="66">
        <v>216363</v>
      </c>
      <c r="C55" s="475" t="str">
        <f>+VLOOKUP(B55,cennik!A:G,2,FALSE)</f>
        <v>SEVROLL 20356 tolóajtó zár 10/18mm</v>
      </c>
      <c r="D55" s="27"/>
      <c r="E55" s="193">
        <f>+VLOOKUP(B55,cennik!A:G,3,FALSE)</f>
        <v>6243.0970299999999</v>
      </c>
      <c r="F55" s="99">
        <f t="shared" si="1"/>
        <v>0</v>
      </c>
      <c r="G55" s="98">
        <f>+F55*(100-F23)/100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Porkefe (méterek) becsúsztatható</v>
      </c>
      <c r="B56" s="66">
        <v>308639</v>
      </c>
      <c r="C56" s="23" t="str">
        <f>+VLOOKUP(B56,cennik!A:G,2,FALSE)</f>
        <v>SEVROLL porfogó kefe öntapadó 6,7x13mm szürke</v>
      </c>
      <c r="D56" s="27"/>
      <c r="E56" s="193">
        <f>+VLOOKUP(B56,cennik!A:G,3,FALSE)</f>
        <v>149.22027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További tartozékok tolóajtó rendszerekhez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Ennek a rendszernek műszaki rajza</v>
      </c>
      <c r="B59" s="7"/>
      <c r="C59" s="7"/>
      <c r="D59" s="71" t="str">
        <f>texty!A15</f>
        <v>Összesen áfával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Ft</v>
      </c>
      <c r="J59" s="166"/>
      <c r="K59" s="166"/>
      <c r="L59" s="4" t="str">
        <f>texty!A128</f>
        <v>ezüst</v>
      </c>
      <c r="M59" s="19" t="s">
        <v>971</v>
      </c>
    </row>
    <row r="60" spans="1:14" ht="12.75" customHeight="1" x14ac:dyDescent="0.25">
      <c r="A60" s="70" t="str">
        <f>System10!A67</f>
        <v>Az Ön megjegyzése:</v>
      </c>
      <c r="B60" s="700"/>
      <c r="C60" s="701"/>
      <c r="D60" s="701"/>
      <c r="E60" s="701"/>
      <c r="F60" s="701"/>
      <c r="G60" s="702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6" t="str">
        <f>profil!U15</f>
        <v/>
      </c>
      <c r="B61" s="697"/>
      <c r="C61" s="697"/>
      <c r="D61" s="697"/>
      <c r="E61" s="697"/>
      <c r="F61" s="697"/>
      <c r="G61" s="697"/>
      <c r="H61" s="697"/>
    </row>
    <row r="62" spans="1:14" ht="12.75" customHeight="1" x14ac:dyDescent="0.25">
      <c r="A62" s="698" t="str">
        <f>IF(N62=1,texty!A215,IF(J62&gt;0,texty!A214,""))</f>
        <v>egyes tételek nem a kiválasztott hosszúságban készülnek</v>
      </c>
      <c r="B62" s="698"/>
      <c r="C62" s="698"/>
      <c r="D62" s="698"/>
      <c r="E62" s="698"/>
      <c r="F62" s="698"/>
      <c r="G62" s="698"/>
      <c r="H62" s="698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2024 Bútorvasalat katalógus  old. 7.54</v>
      </c>
      <c r="B3" s="318" t="str">
        <f>CONCATENATE(texty!A34," 
/ max. 2 742 mm /")</f>
        <v>magasság 
/ max.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8"/>
      <c r="G4" s="695"/>
      <c r="H4" s="695"/>
      <c r="I4" s="695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töltsék ki ezt a 4 sort !!! Adatok mm-ben</v>
      </c>
      <c r="C5" s="715"/>
      <c r="D5" s="715"/>
      <c r="E5" s="715"/>
      <c r="F5" s="366"/>
      <c r="G5" s="695"/>
      <c r="H5" s="695"/>
      <c r="I5" s="695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/>
      <c r="S6" s="684"/>
      <c r="T6" s="684"/>
      <c r="U6" s="68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4"/>
      <c r="S7" s="684"/>
      <c r="T7" s="684"/>
      <c r="U7" s="684"/>
    </row>
    <row r="8" spans="1:21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A tükör mérete/ 12mm FFL-ra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fogantyú profil hossza (+2mm)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7" t="str">
        <f>IF(B7&gt;2400,texty!A194,IF(C7&gt;700,texty!A194,""))</f>
        <v>Az ajtószárny max. nagysága  tükörrel 2400x700 mm.</v>
      </c>
      <c r="B12" s="717"/>
      <c r="C12" s="600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95" customHeight="1" x14ac:dyDescent="0.25">
      <c r="A13" s="683" t="str">
        <f>IF(SUM(D39:D40)&gt;0,texty!A246,"")</f>
        <v/>
      </c>
      <c r="B13" s="683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3"/>
      <c r="B14" s="683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IF((D42+D41)&gt;D4,0,D4-(D41+D42))</f>
        <v>0</v>
      </c>
      <c r="E28" s="86">
        <f>+VLOOKUP(B28,cennik!A:G,3,FALSE)</f>
        <v>2839.63526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1937.5129899999999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ek a 16mm hézak kitöltéséhez</v>
      </c>
      <c r="B55" s="66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tolóajtó zár</v>
      </c>
      <c r="B56" s="66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Porkefe (méterek) becsúsztatható</v>
      </c>
      <c r="B57" s="66">
        <v>308639</v>
      </c>
      <c r="C57" s="23" t="str">
        <f>+VLOOKUP(B57,cennik!A:G,2,FALSE)</f>
        <v>SEVROLL porfogó kefe öntapadó 6,7x13mm szürke</v>
      </c>
      <c r="D57" s="27"/>
      <c r="E57" s="193">
        <f>+VLOOKUP(B57,cennik!A:G,3,FALSE)</f>
        <v>149.22027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Ft</v>
      </c>
      <c r="I60" s="166"/>
      <c r="J60" s="166"/>
      <c r="L60" s="4" t="str">
        <f>texty!A128</f>
        <v>ezüst</v>
      </c>
    </row>
    <row r="61" spans="1:14" ht="12.75" customHeight="1" x14ac:dyDescent="0.25">
      <c r="A61" s="70" t="str">
        <f>System10!A67</f>
        <v>Az Ön megjegyzése:</v>
      </c>
      <c r="B61" s="700"/>
      <c r="C61" s="701"/>
      <c r="D61" s="701"/>
      <c r="E61" s="701"/>
      <c r="F61" s="701"/>
      <c r="G61" s="702"/>
      <c r="H61" s="5"/>
      <c r="L61" s="4" t="str">
        <f>texty!A130</f>
        <v>oliva</v>
      </c>
    </row>
    <row r="62" spans="1:14" ht="12.75" customHeight="1" x14ac:dyDescent="0.25">
      <c r="A62" s="696" t="str">
        <f>profil!U15</f>
        <v/>
      </c>
      <c r="B62" s="697"/>
      <c r="C62" s="697"/>
      <c r="D62" s="697"/>
      <c r="E62" s="697"/>
      <c r="F62" s="697"/>
      <c r="G62" s="697"/>
      <c r="H62" s="697"/>
    </row>
    <row r="63" spans="1:14" ht="12.75" customHeight="1" x14ac:dyDescent="0.25">
      <c r="A63" s="698" t="str">
        <f>IF(N63=1,texty!A215,IF(J63&gt;0,texty!A214,""))</f>
        <v>egyes tételek nem a kiválasztott hosszúságban készülnek</v>
      </c>
      <c r="B63" s="698"/>
      <c r="C63" s="698"/>
      <c r="D63" s="698"/>
      <c r="E63" s="698"/>
      <c r="F63" s="698"/>
      <c r="G63" s="698"/>
      <c r="H63" s="698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Vevő, , VSZ: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2024 Bútorvasalat katalógus  old. 7.54</v>
      </c>
      <c r="B3" s="318" t="str">
        <f>CONCATENATE(texty!A34," / max.        2 742 mm /")</f>
        <v>magasság / max.        2 742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8"/>
      <c r="G3" s="5"/>
      <c r="H3" s="5"/>
      <c r="L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8"/>
      <c r="G4" s="695"/>
      <c r="H4" s="695"/>
      <c r="I4" s="695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5" t="str">
        <f>texty!A46</f>
        <v>töltsék ki ezt a 4 sort !!! Adatok mm-ben</v>
      </c>
      <c r="C5" s="715"/>
      <c r="D5" s="715"/>
      <c r="E5" s="715"/>
      <c r="F5" s="366"/>
      <c r="G5" s="695"/>
      <c r="H5" s="695"/>
      <c r="I5" s="695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695"/>
      <c r="H6" s="695"/>
      <c r="I6" s="695"/>
      <c r="K6" s="173"/>
      <c r="L6" s="5"/>
      <c r="R6" s="684"/>
      <c r="S6" s="684"/>
      <c r="T6" s="684"/>
      <c r="U6" s="684"/>
    </row>
    <row r="7" spans="1:21" ht="12.75" customHeight="1" x14ac:dyDescent="0.25">
      <c r="A7" s="9" t="str">
        <f>texty!A71</f>
        <v>ajtó szárny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84"/>
      <c r="S7" s="684"/>
      <c r="T7" s="684"/>
      <c r="U7" s="684"/>
    </row>
    <row r="8" spans="1:21" ht="12.75" customHeight="1" x14ac:dyDescent="0.25">
      <c r="A8" s="9" t="str">
        <f>texty!A48</f>
        <v>A betét mérete 18 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Az ajtószárny maximális súlya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A tükör mérete/ 12mm FFL-ra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fogantyú profil hossza (+2mm)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7" t="str">
        <f>IF(B7&gt;2400,texty!A194,IF(C7&gt;700,texty!A194,""))</f>
        <v>Az ajtószárny max. nagysága  tükörrel 2400x700 mm.</v>
      </c>
      <c r="B12" s="717"/>
      <c r="C12" s="600" t="str">
        <f>texty!A78</f>
        <v>Utólagos levonás a kiszámított magasságból  a betéteknél az elválasztó profilok használatakor</v>
      </c>
      <c r="D12" s="7"/>
      <c r="E12" s="7"/>
      <c r="F12" s="7"/>
      <c r="G12" s="5"/>
      <c r="L12" s="5"/>
    </row>
    <row r="13" spans="1:21" ht="19.95" customHeight="1" x14ac:dyDescent="0.25">
      <c r="A13" s="683" t="str">
        <f>IF(SUM(D39:D40)&gt;0,texty!A246,"")</f>
        <v/>
      </c>
      <c r="B13" s="683"/>
      <c r="C13" s="384"/>
      <c r="D13" s="7"/>
      <c r="E13" s="7"/>
      <c r="F13" s="7"/>
      <c r="G13" s="5"/>
      <c r="L13" s="5"/>
    </row>
    <row r="14" spans="1:21" ht="41.25" customHeight="1" x14ac:dyDescent="0.25">
      <c r="A14" s="683"/>
      <c r="B14" s="683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árengedmény:</v>
      </c>
      <c r="H22" s="5"/>
      <c r="M22" s="5"/>
      <c r="U22" s="150"/>
    </row>
    <row r="23" spans="1:22" ht="12.75" customHeight="1" x14ac:dyDescent="0.25">
      <c r="A23" s="12" t="str">
        <f>texty!A80</f>
        <v>Megrendelési kódok, árak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megnevezés</v>
      </c>
      <c r="D24" s="17" t="str">
        <f>+System10!D27</f>
        <v>db</v>
      </c>
      <c r="E24" s="17" t="str">
        <f>+System10!E27</f>
        <v>db ár</v>
      </c>
      <c r="F24" s="17" t="str">
        <f>+System10!F27</f>
        <v>ár összesen</v>
      </c>
      <c r="G24" s="18" t="str">
        <f>+System10!G27</f>
        <v>összesen nettó</v>
      </c>
      <c r="H24" s="5"/>
      <c r="I24" s="16" t="str">
        <f>texty!A29</f>
        <v>Megjegyzés: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Felső profil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Ft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Alsó profil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Takaró profil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Felső kocsi (szett)</v>
      </c>
      <c r="B28" s="66">
        <v>98092</v>
      </c>
      <c r="C28" s="23" t="str">
        <f>+VLOOKUP(B28,cennik!A:G,2,FALSE)</f>
        <v>SEVROLL10203  Comfort felső görgő 18mm - 2db</v>
      </c>
      <c r="D28" s="15">
        <f>IF((D42+D41)&gt;D4,0,D4-(D42+D41))</f>
        <v>0</v>
      </c>
      <c r="E28" s="86">
        <f>+VLOOKUP(B28,cennik!A:G,3,FALSE)</f>
        <v>2839.63526</v>
      </c>
      <c r="F28" s="86">
        <f t="shared" si="0"/>
        <v>0</v>
      </c>
      <c r="G28" s="87">
        <f>+F28*(100-G23)/100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Alsó kocsi (szett)</v>
      </c>
      <c r="B29" s="66">
        <v>362316</v>
      </c>
      <c r="C29" s="23" t="str">
        <f>+VLOOKUP(B29,cennik!A:G,2,FALSE)</f>
        <v>SEVROLL 10237 2x alsó görgő 18 mm-es rétegeltlemez finomállító nélkül rugó nélkü</v>
      </c>
      <c r="D29" s="15">
        <f>+D4</f>
        <v>0</v>
      </c>
      <c r="E29" s="86">
        <f>+VLOOKUP(B29,cennik!A:G,3,FALSE)</f>
        <v>1937.5129899999999</v>
      </c>
      <c r="F29" s="86">
        <f t="shared" si="0"/>
        <v>0</v>
      </c>
      <c r="G29" s="87">
        <f>+F29*(100-G23)/100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támfalas kefe</v>
      </c>
      <c r="B30" s="66">
        <v>229433</v>
      </c>
      <c r="C30" s="23" t="str">
        <f>+VLOOKUP(B30,cennik!A:G,2,FALSE)</f>
        <v>SEVROLL támfalas kefe becsúsztatható 4,8x4mm szürke</v>
      </c>
      <c r="D30" s="15">
        <f>CEILING((B4*D4*2/1000),1)</f>
        <v>0</v>
      </c>
      <c r="E30" s="86">
        <f>+VLOOKUP(B30,cennik!A:G,3,FALSE)</f>
        <v>35.639870000000002</v>
      </c>
      <c r="F30" s="86">
        <f t="shared" si="0"/>
        <v>0</v>
      </c>
      <c r="G30" s="87">
        <f>+F30*(100-G23)/100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Fogantyú profil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Választható tartozékok:</v>
      </c>
      <c r="B33" s="113"/>
      <c r="C33" s="116"/>
      <c r="D33" s="371" t="str">
        <f>+Faworyt!D34</f>
        <v>adja be a db számot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Finomállító felső vezetéshez</v>
      </c>
      <c r="B34" s="66">
        <v>298035</v>
      </c>
      <c r="C34" s="475" t="str">
        <f>+VLOOKUP(B34,cennik!A:G,2,FALSE)</f>
        <v>SEVROLL 20326 Fix Fix finomállító felső görgő-höz transzparens</v>
      </c>
      <c r="D34" s="27"/>
      <c r="E34" s="193">
        <f>+VLOOKUP(B34,cennik!A:G,3,FALSE)</f>
        <v>481.81545</v>
      </c>
      <c r="F34" s="99">
        <f>+E34*D34</f>
        <v>0</v>
      </c>
      <c r="G34" s="98">
        <f>+F34*(100-F23)/100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>Finomállító</v>
      </c>
      <c r="B35" s="66">
        <v>89063</v>
      </c>
      <c r="C35" s="475" t="str">
        <f>+VLOOKUP(B35,cennik!A:G,2,FALSE)</f>
        <v>SEVROLL 20080 finomállító HI-TEC alsó görgőhöz</v>
      </c>
      <c r="D35" s="27"/>
      <c r="E35" s="193">
        <f>+VLOOKUP(B35,cennik!A:G,3,FALSE)</f>
        <v>123.01676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ütközés csillapító MINI 25 kg-ig (pár)</v>
      </c>
      <c r="B36" s="66">
        <v>318662</v>
      </c>
      <c r="C36" s="23" t="str">
        <f>+VLOOKUP(B36,cennik!A:G,2,FALSE)</f>
        <v>SEVROLL 20368-SV ütközés csillapító Mini SV25 (14-25kg)</v>
      </c>
      <c r="D36" s="278"/>
      <c r="E36" s="86">
        <f>+VLOOKUP(B36,cennik!A:G,3,FALSE)</f>
        <v>9041.7265599999992</v>
      </c>
      <c r="F36" s="91">
        <f>+CEILING(D36,1)*E36</f>
        <v>0</v>
      </c>
      <c r="G36" s="98">
        <f>+F36*(100-F23)/100</f>
        <v>0</v>
      </c>
      <c r="H36" s="22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ütközés csillapító MINI 40 kg-ig (pár)</v>
      </c>
      <c r="B37" s="66">
        <v>283956</v>
      </c>
      <c r="C37" s="23" t="str">
        <f>+VLOOKUP(B37,cennik!A:G,2,FALSE)</f>
        <v>SEVROLL 20258-SV ütközés csillapító  Mini SV40 (25 - 40kg)</v>
      </c>
      <c r="D37" s="278"/>
      <c r="E37" s="86">
        <f>+VLOOKUP(B37,cennik!A:G,3,FALSE)</f>
        <v>9041.7265599999992</v>
      </c>
      <c r="F37" s="91">
        <f>+CEILING(D37,1)*E37</f>
        <v>0</v>
      </c>
      <c r="G37" s="98">
        <f>+F37*(100-F23)/100</f>
        <v>0</v>
      </c>
      <c r="H37" s="22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ütközés csillapító MINI 60 kg-ig (pár)</v>
      </c>
      <c r="B38" s="66">
        <v>351743</v>
      </c>
      <c r="C38" s="23" t="str">
        <f>+VLOOKUP(B38,cennik!A:G,2,FALSE)</f>
        <v>SEVROLL 20339-SV ütközés csillapító Mini SV60 (40 - 60kg)</v>
      </c>
      <c r="D38" s="278"/>
      <c r="E38" s="86">
        <f>+VLOOKUP(B38,cennik!A:G,3,FALSE)</f>
        <v>9041.7265599999992</v>
      </c>
      <c r="F38" s="91">
        <f>+CEILING(D38,1)*E38</f>
        <v>0</v>
      </c>
      <c r="G38" s="98">
        <f>+F38*(100-F23)/100</f>
        <v>0</v>
      </c>
      <c r="H38" s="22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csillapító a középső szárnyra 25 kg-ig</v>
      </c>
      <c r="B39" s="66">
        <v>318663</v>
      </c>
      <c r="C39" s="23" t="str">
        <f>+VLOOKUP(B39,cennik!A:G,2,FALSE)</f>
        <v>SEVROLL 20363-SV csillapító Central 10/18mm kétoldalú 25kg</v>
      </c>
      <c r="D39" s="278"/>
      <c r="E39" s="86">
        <f>+VLOOKUP(B39,cennik!A:G,3,FALSE)</f>
        <v>19364.876939999998</v>
      </c>
      <c r="F39" s="91">
        <f>+CEILING(D39,1)*E39</f>
        <v>0</v>
      </c>
      <c r="G39" s="98">
        <f>+F39*(100-F23)/100</f>
        <v>0</v>
      </c>
      <c r="H39" s="22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csillapító a középső szárnyra 40 kg-ig</v>
      </c>
      <c r="B40" s="66">
        <v>283955</v>
      </c>
      <c r="C40" s="23" t="str">
        <f>+VLOOKUP(B40,cennik!A:G,2,FALSE)</f>
        <v>SEVROLL20319-SV  csillapító Central 10 / 18mm kétoldalas 25-40kg</v>
      </c>
      <c r="D40" s="278"/>
      <c r="E40" s="86">
        <f>+VLOOKUP(B40,cennik!A:G,3,FALSE)</f>
        <v>19364.876939999998</v>
      </c>
      <c r="F40" s="91">
        <f>+CEILING(D40,1)*E40</f>
        <v>0</v>
      </c>
      <c r="G40" s="98">
        <f>+F40*(100-F23)/100</f>
        <v>0</v>
      </c>
      <c r="H40" s="22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Ütközés tompító (pár) 25 kg</v>
      </c>
      <c r="B41" s="66">
        <v>227185</v>
      </c>
      <c r="C41" s="475" t="str">
        <f>+VLOOKUP(B41,cennik!A:G,2,FALSE)</f>
        <v>K-SEVROLL ütközés csillapító 10/18mm 14-25kg J+B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Ütközés tompító (pár) 50 kg</v>
      </c>
      <c r="B42" s="66">
        <v>227187</v>
      </c>
      <c r="C42" s="475" t="str">
        <f>+VLOOKUP(B42,cennik!A:G,2,FALSE)</f>
        <v>K-SEVROLL ütközés csillapító 10/18mm 25-50kg J+B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Klipsz támfalas kefére</v>
      </c>
      <c r="B43" s="66">
        <v>223569</v>
      </c>
      <c r="C43" s="475" t="str">
        <f>+VLOOKUP(B43,cennik!A:G,2,FALSE)</f>
        <v>SEVROLL 20223 kapocs támfalas keféhez</v>
      </c>
      <c r="D43" s="27"/>
      <c r="E43" s="193">
        <f>+VLOOKUP(B43,cennik!A:G,3,FALSE)</f>
        <v>30.754100000000001</v>
      </c>
      <c r="F43" s="99">
        <f t="shared" si="1"/>
        <v>0</v>
      </c>
      <c r="G43" s="98">
        <f>+F43*(100-F23)/100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Összekötő profil H18- 3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összekötő T-profil 3 m / vájattal 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összekötő T-profil 3 m / peremmel 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FFL-ra 18 mm-3 m / sima 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FFL-ra 18 mm-3 m / peremmel 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Sarok elem mini 11x17mm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Sarok elem mini 11x17mm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Sarok elem  mini11x17mm - 3,00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Sarok elem K2 t19x18mm - 1,7 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Sarok elem K2 19x18mm - 2,35 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Sarok elem K2 19x18mm - 3,00 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ek a 16mm hézak kitöltéséhez</v>
      </c>
      <c r="B55" s="66">
        <v>308631</v>
      </c>
      <c r="C55" s="475" t="str">
        <f>+VLOOKUP(B55,cennik!A:G,2,FALSE)</f>
        <v>SEVROLL 20252  ék rétegelt lemezhez vastagság 2mm (100 db)</v>
      </c>
      <c r="D55" s="27"/>
      <c r="E55" s="193">
        <f>+VLOOKUP(B55,cennik!A:G,3,FALSE)</f>
        <v>3385.3154599999998</v>
      </c>
      <c r="F55" s="99">
        <f t="shared" si="1"/>
        <v>0</v>
      </c>
      <c r="G55" s="98">
        <f>+F55*(100-G23)/100</f>
        <v>0</v>
      </c>
      <c r="H55" s="5" t="str">
        <f>cennik!B2</f>
        <v>Ft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tolóajtó zár</v>
      </c>
      <c r="B56" s="66">
        <v>216363</v>
      </c>
      <c r="C56" s="475" t="str">
        <f>+VLOOKUP(B56,cennik!A:G,2,FALSE)</f>
        <v>SEVROLL 20356 tolóajtó zár 10/18mm</v>
      </c>
      <c r="D56" s="27"/>
      <c r="E56" s="193">
        <f>+VLOOKUP(B56,cennik!A:G,3,FALSE)</f>
        <v>6243.0970299999999</v>
      </c>
      <c r="F56" s="99">
        <f t="shared" si="1"/>
        <v>0</v>
      </c>
      <c r="G56" s="98">
        <f>+F56*(100-F23)/100</f>
        <v>0</v>
      </c>
      <c r="H56" s="5" t="str">
        <f>cennik!B2</f>
        <v>Ft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porfogó kefe</v>
      </c>
      <c r="B57" s="66">
        <v>95946</v>
      </c>
      <c r="C57" s="23" t="str">
        <f>+VLOOKUP(B57,cennik!A:G,2,FALSE)</f>
        <v>SEVROLL porfogó kefe becsúsztatható 4,8x13mm</v>
      </c>
      <c r="D57" s="27"/>
      <c r="E57" s="193">
        <f>+VLOOKUP(B57,cennik!A:G,3,FALSE)</f>
        <v>90.9</v>
      </c>
      <c r="F57" s="99">
        <f t="shared" si="1"/>
        <v>0</v>
      </c>
      <c r="G57" s="98">
        <f>+F57*(100-F23)/100</f>
        <v>0</v>
      </c>
      <c r="H57" s="5" t="str">
        <f>cennik!B2</f>
        <v>Ft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További tartozékok tolóajtó rendszerekhez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Ennek a rendszernek műszaki rajza</v>
      </c>
      <c r="B60" s="7"/>
      <c r="C60" s="7"/>
      <c r="D60" s="71" t="str">
        <f>texty!A15</f>
        <v>Összesen áfával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Ft</v>
      </c>
      <c r="I60" s="4"/>
      <c r="J60" s="166"/>
      <c r="K60" s="166"/>
      <c r="L60" s="4" t="str">
        <f>texty!A128</f>
        <v>ezüst</v>
      </c>
    </row>
    <row r="61" spans="1:13" ht="12.75" customHeight="1" x14ac:dyDescent="0.25">
      <c r="A61" s="70" t="str">
        <f>System10!A67</f>
        <v>Az Ön megjegyzése:</v>
      </c>
      <c r="B61" s="700"/>
      <c r="C61" s="701"/>
      <c r="D61" s="701"/>
      <c r="E61" s="701"/>
      <c r="F61" s="701"/>
      <c r="G61" s="702"/>
      <c r="H61" s="5"/>
      <c r="L61" s="4" t="str">
        <f>texty!A130</f>
        <v>oliva</v>
      </c>
    </row>
    <row r="62" spans="1:13" ht="12.75" customHeight="1" x14ac:dyDescent="0.25">
      <c r="A62" s="696" t="str">
        <f>profil!U15</f>
        <v/>
      </c>
      <c r="B62" s="697"/>
      <c r="C62" s="697"/>
      <c r="D62" s="697"/>
      <c r="E62" s="697"/>
      <c r="F62" s="697"/>
      <c r="G62" s="697"/>
      <c r="H62" s="697"/>
    </row>
    <row r="63" spans="1:13" ht="12.75" customHeight="1" x14ac:dyDescent="0.25">
      <c r="A63" s="698" t="str">
        <f>IF(M63=1,texty!A215,IF(J63&gt;0,texty!A214,""))</f>
        <v>egyes tételek nem a kiválasztott hosszúságban készülnek</v>
      </c>
      <c r="B63" s="698"/>
      <c r="C63" s="698"/>
      <c r="D63" s="698"/>
      <c r="E63" s="698"/>
      <c r="F63" s="698"/>
      <c r="G63" s="698"/>
      <c r="H63" s="698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  <mergeCell ref="A12:B12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2024 Bútorvasalat katalógus  old. 7.62</v>
      </c>
      <c r="B3" s="318" t="str">
        <f>CONCATENATE(texty!A34," / max.        2 740 mm /")</f>
        <v>magasság / max.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399.80439000000001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1435.1946800000001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1896.5072500000001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97.2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Fogantyú profil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Választható tartozékok:</v>
      </c>
      <c r="B34" s="7"/>
      <c r="C34" s="475"/>
      <c r="D34" s="24" t="str">
        <f>System10!D41</f>
        <v>adja be a db számot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481.81545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Finomállító</v>
      </c>
      <c r="B36" s="590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143.51965000000001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11.584149999999999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9041.7265599999992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9041.7265599999992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19364.876939999998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19364.876939999998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92.262690000000006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Sarok elem mini 11x17mm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Sarok elem mini 11x17mm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Sarok elem  mini11x17mm - 3,00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Sarok elem K2 t19x18mm - 1,7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Sarok elem K2 19x18mm - 2,35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Sarok elem K2 19x18mm - 3,00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ek a 16mm hézak kitöltéséhez</v>
      </c>
      <c r="B51" s="15">
        <v>308631</v>
      </c>
      <c r="C51" s="475" t="str">
        <f>+VLOOKUP(B51,cennik!A:G,2,FALSE)</f>
        <v>SEVROLL 20252  ék rétegelt lemezhez vastagság 2mm (100 db)</v>
      </c>
      <c r="D51" s="27"/>
      <c r="E51" s="193">
        <f>+VLOOKUP(B51,cennik!A:G,3,FALSE)</f>
        <v>3385.3154599999998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tolóajtó zár</v>
      </c>
      <c r="B52" s="15">
        <v>216363</v>
      </c>
      <c r="C52" s="475" t="str">
        <f>+VLOOKUP(B52,cennik!A:G,2,FALSE)</f>
        <v>SEVROLL 20356 tolóajtó zár 10/18mm</v>
      </c>
      <c r="D52" s="27"/>
      <c r="E52" s="193">
        <f>+VLOOKUP(B52,cennik!A:G,3,FALSE)</f>
        <v>6243.0970299999999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További tartozékok tolóajtó rendszerekhez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Ennek a rendszernek műszaki rajza</v>
      </c>
      <c r="B56" s="7"/>
      <c r="C56" s="7"/>
      <c r="D56" s="71" t="str">
        <f>texty!A15</f>
        <v>Összesen áfával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5">
      <c r="A57" s="70" t="str">
        <f>System10!A67</f>
        <v>Az Ön megjegyzése: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6" t="str">
        <f>profil!U15</f>
        <v/>
      </c>
      <c r="B58" s="697"/>
      <c r="C58" s="697"/>
      <c r="D58" s="697"/>
      <c r="E58" s="697"/>
      <c r="F58" s="697"/>
      <c r="G58" s="697"/>
      <c r="K58" s="4" t="str">
        <f>data!J15</f>
        <v>fehér fényes</v>
      </c>
    </row>
    <row r="59" spans="1:13" ht="12.75" customHeight="1" x14ac:dyDescent="0.25">
      <c r="A59" s="698" t="str">
        <f>IF(M59=1,texty!A215,IF(J59&gt;0,texty!A214,""))</f>
        <v>egyes tételek nem a kiválasztott hosszúságban készülnek</v>
      </c>
      <c r="B59" s="698"/>
      <c r="C59" s="698"/>
      <c r="D59" s="698"/>
      <c r="E59" s="698"/>
      <c r="F59" s="698"/>
      <c r="G59" s="698"/>
      <c r="J59" s="5" t="e">
        <f>SUM(J26:J55)</f>
        <v>#N/A</v>
      </c>
      <c r="K59" s="4" t="str">
        <f>data!J17</f>
        <v>matt feket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Vevő, , VSZ: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93"/>
      <c r="H4" s="693"/>
      <c r="I4" s="69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2" t="str">
        <f>texty!A71</f>
        <v>ajtó szárny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Abban az esetben, ha betét üveg ,</v>
      </c>
      <c r="H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2" t="str">
        <f>texty!A72</f>
        <v>a betét mérete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a vezető és takaró profil mérete 1 szárnyra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24" customHeight="1" x14ac:dyDescent="0.25">
      <c r="A20" s="320"/>
      <c r="B20" s="596" t="str">
        <f>texty!A242</f>
        <v>hézak 4 mm</v>
      </c>
      <c r="C20" s="15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Felső profil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Alsó profil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Takaró profil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Felső kocsi (szett)</v>
      </c>
      <c r="B31" s="14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2204.04898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Alsó kocsi (szett)</v>
      </c>
      <c r="B32" s="14">
        <f>IF(F4=M64,328321,229441)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támfalas kefe</v>
      </c>
      <c r="B33" s="14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Fogantyú profil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Összekötő csavar</v>
      </c>
      <c r="B35" s="14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A keret fölső profilja (sín)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A keret fölső profilja (sín)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A keret vízszintes profilja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A keret vízszintes profilja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Választható tartozékok:</v>
      </c>
      <c r="B41" s="14"/>
      <c r="D41" s="343" t="str">
        <f>texty!A33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Finomállító felső vezetéshez</v>
      </c>
      <c r="B42" s="14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86">
        <f>+E42*D42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Finomállító</v>
      </c>
      <c r="B43" s="14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86">
        <f>+E43*D43</f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ütközés csillapító MINI 25 kg-ig (pár)</v>
      </c>
      <c r="B44" s="14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>+CEILING(D44,1)*E44</f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>+CEILING(D45,1)*E45</f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>+CEILING(D46,1)*E46</f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>+CEILING(D47,1)*E47</f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>+CEILING(D48,1)*E48</f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Összekötő profil H10-3méter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Összekötő csavar</v>
      </c>
      <c r="B53" s="14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 t="shared" si="1"/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6243.0970299999999</v>
      </c>
      <c r="F54" s="86">
        <f t="shared" si="1"/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90.9</v>
      </c>
      <c r="F55" s="86">
        <f t="shared" si="1"/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További tartozékok tolóajtó rendszerekhez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4493.0024999999996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ezüst</v>
      </c>
      <c r="M64" s="4" t="s">
        <v>968</v>
      </c>
    </row>
    <row r="65" spans="1:14" ht="12.75" customHeight="1" x14ac:dyDescent="0.25">
      <c r="A65" s="685" t="str">
        <f>IF(SUM(D49:D50)&gt;0,IF(C7&lt;(B4/3),texty!A212,""),"")</f>
        <v/>
      </c>
      <c r="B65" s="685"/>
      <c r="C65" s="685"/>
      <c r="D65" s="685"/>
      <c r="E65" s="685"/>
      <c r="F65" s="685"/>
      <c r="G65" s="685"/>
      <c r="H65" s="685"/>
      <c r="I65" s="349"/>
      <c r="J65" s="210"/>
      <c r="K65" s="126"/>
      <c r="L65" s="4" t="str">
        <f>data!J5</f>
        <v>arany/sárgaréz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Összesen áfával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Ft</v>
      </c>
      <c r="I66" s="4"/>
      <c r="J66" s="166"/>
      <c r="K66" s="166"/>
      <c r="L66" s="4" t="str">
        <f>data!J6</f>
        <v>oliva</v>
      </c>
    </row>
    <row r="67" spans="1:14" ht="12.75" customHeight="1" x14ac:dyDescent="0.25">
      <c r="A67" s="337" t="str">
        <f>texty!A14</f>
        <v>Az Ön megjegyzése:</v>
      </c>
      <c r="B67" s="690"/>
      <c r="C67" s="691"/>
      <c r="D67" s="691"/>
      <c r="E67" s="691"/>
      <c r="F67" s="691"/>
      <c r="G67" s="692"/>
      <c r="H67" s="22"/>
      <c r="J67" s="166"/>
      <c r="K67" s="166"/>
    </row>
    <row r="68" spans="1:14" ht="12.75" customHeight="1" x14ac:dyDescent="0.25">
      <c r="A68" s="689" t="str">
        <f>profil!U15</f>
        <v/>
      </c>
      <c r="B68" s="679"/>
      <c r="C68" s="679"/>
      <c r="D68" s="679"/>
      <c r="E68" s="679"/>
      <c r="F68" s="679"/>
      <c r="G68" s="679"/>
      <c r="H68" s="679"/>
    </row>
    <row r="69" spans="1:14" ht="12.75" customHeight="1" x14ac:dyDescent="0.25">
      <c r="A69" s="680" t="str">
        <f>IF(N69=1,"texty!A213",IF(K69&gt;0,texty!A214,""))</f>
        <v/>
      </c>
      <c r="B69" s="680"/>
      <c r="C69" s="680"/>
      <c r="D69" s="680"/>
      <c r="E69" s="680"/>
      <c r="F69" s="680"/>
      <c r="G69" s="680"/>
      <c r="H69" s="680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(keret nélküli)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2024 Bútorvasalat katalógus  old. 7.62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texty!A47</f>
        <v>Az ajtó szárny: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Az ajtószárny maximális súlya 35 kg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A betét mérete 18 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A betét mérete 12 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A tükör mérete/ 12mm FFL-ra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fogantyú profil hossza (+2mm)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Utólagos levonás a kiszámított magasságból  a betéteknél az elválasztó profilok használatakor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árengedmény: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Megrendelési kódok, árak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megnevezés</v>
      </c>
      <c r="D25" s="17" t="str">
        <f>+System10!D27</f>
        <v>db</v>
      </c>
      <c r="E25" s="17" t="str">
        <f>+System10!E27</f>
        <v>db ár</v>
      </c>
      <c r="F25" s="17" t="str">
        <f>+System10!F27</f>
        <v>ár összesen</v>
      </c>
      <c r="G25" s="18" t="str">
        <f>+System10!G27</f>
        <v>összesen nettó</v>
      </c>
      <c r="I25" s="16" t="str">
        <f>texty!A29</f>
        <v>Megjegyzés: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Felső profil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Ft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Alsó profil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Ft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takaró elem alsó vezetésre</v>
      </c>
      <c r="B28" s="15">
        <v>216362</v>
      </c>
      <c r="C28" s="23" t="str">
        <f>+VLOOKUP(B28,cennik!A:G,2,FALSE)</f>
        <v>SEVROLL 20223 takaró profil alsó vezetésre Simple/Blue átlátszó</v>
      </c>
      <c r="D28" s="15">
        <f>CEILING(C4/1000,1)</f>
        <v>0</v>
      </c>
      <c r="E28" s="86">
        <f>+VLOOKUP(B28,cennik!A:G,3,FALSE)</f>
        <v>399.80439000000001</v>
      </c>
      <c r="F28" s="86">
        <f t="shared" si="0"/>
        <v>0</v>
      </c>
      <c r="G28" s="87">
        <f>+F28*(100-G24)/100</f>
        <v>0</v>
      </c>
      <c r="H28" s="5" t="str">
        <f>cennik!B2</f>
        <v>Ft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Felső kocsi (szett)</v>
      </c>
      <c r="B29" s="15">
        <v>349734</v>
      </c>
      <c r="C29" s="23" t="str">
        <f>+VLOOKUP(B29,cennik!A:G,2,FALSE)</f>
        <v>SEVROLL 10217 felső görgő Blue (18 mm-es rétegeltlemez) keret nélküli J+B</v>
      </c>
      <c r="D29" s="15">
        <f>+D4</f>
        <v>0</v>
      </c>
      <c r="E29" s="86">
        <f>+VLOOKUP(B29,cennik!A:G,3,FALSE)</f>
        <v>1435.1946800000001</v>
      </c>
      <c r="F29" s="86">
        <f t="shared" si="0"/>
        <v>0</v>
      </c>
      <c r="G29" s="87">
        <f>+F29*(100-G24)/100</f>
        <v>0</v>
      </c>
      <c r="H29" s="5" t="str">
        <f>cennik!B2</f>
        <v>Ft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Alsó kocsi (szett)</v>
      </c>
      <c r="B30" s="15">
        <v>349735</v>
      </c>
      <c r="C30" s="23" t="str">
        <f>+VLOOKUP(B30,cennik!A:G,2,FALSE)</f>
        <v>SEVROLL 10219 alsó görgő Blue V keret nélküli 18mm-hez - 2db</v>
      </c>
      <c r="D30" s="15">
        <f>+D4</f>
        <v>0</v>
      </c>
      <c r="E30" s="86">
        <f>+VLOOKUP(B30,cennik!A:G,3,FALSE)</f>
        <v>1896.5072500000001</v>
      </c>
      <c r="F30" s="86">
        <f t="shared" si="0"/>
        <v>0</v>
      </c>
      <c r="G30" s="87">
        <f>+F30*(100-G24)/100</f>
        <v>0</v>
      </c>
      <c r="H30" s="5" t="str">
        <f>cennik!B2</f>
        <v>Ft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támfalas kefe</v>
      </c>
      <c r="B31" s="15">
        <v>98067</v>
      </c>
      <c r="C31" s="23" t="str">
        <f>+VLOOKUP(B31,cennik!A:G,2,FALSE)</f>
        <v>SEVROLL támfalas kefe becsúsztatható 14x4mm szürke</v>
      </c>
      <c r="D31" s="15">
        <f>CEILING((B4*D4*2/1000),1)</f>
        <v>0</v>
      </c>
      <c r="E31" s="86">
        <f>+VLOOKUP(B31,cennik!A:G,3,FALSE)</f>
        <v>97.2</v>
      </c>
      <c r="F31" s="86">
        <f t="shared" si="0"/>
        <v>0</v>
      </c>
      <c r="G31" s="87">
        <f>+F31*(100-G24)/100</f>
        <v>0</v>
      </c>
      <c r="H31" s="5" t="str">
        <f>cennik!B2</f>
        <v>Ft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Fogantyú profil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Választható tartozékok:</v>
      </c>
      <c r="B34" s="7"/>
      <c r="C34" s="475"/>
      <c r="D34" s="24" t="str">
        <f>System10!D41</f>
        <v>adja be a db számot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Finomállító felső vezetéshez</v>
      </c>
      <c r="B35" s="7">
        <v>298035</v>
      </c>
      <c r="C35" s="23" t="str">
        <f>+VLOOKUP(B35,cennik!A:G,2,FALSE)</f>
        <v>SEVROLL 20326 Fix Fix finomállító felső görgő-höz transzparens</v>
      </c>
      <c r="D35" s="27"/>
      <c r="E35" s="86">
        <f>+VLOOKUP(B35,cennik!A:G,3,FALSE)</f>
        <v>481.81545</v>
      </c>
      <c r="F35" s="91">
        <f>+CEILING(D35,1)*E35</f>
        <v>0</v>
      </c>
      <c r="G35" s="87">
        <f>+F35*(100-G24)/100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Finomállító</v>
      </c>
      <c r="B36" s="590">
        <v>229681</v>
      </c>
      <c r="C36" s="23" t="str">
        <f>+VLOOKUP(B36,cennik!A:G,2,FALSE)</f>
        <v>SEVROLL 10163 Simple/Blue finomállító alsó görgő-höz</v>
      </c>
      <c r="D36" s="27"/>
      <c r="E36" s="86">
        <f>+VLOOKUP(B36,cennik!A:G,3,FALSE)</f>
        <v>143.51965000000001</v>
      </c>
      <c r="F36" s="86">
        <f>+E36*D36</f>
        <v>0</v>
      </c>
      <c r="G36" s="87">
        <f>+F36*(100-G24)/100</f>
        <v>0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Csavar az alsó sínre</v>
      </c>
      <c r="B37" s="7">
        <v>98019</v>
      </c>
      <c r="C37" s="23" t="str">
        <f>+VLOOKUP(B37,cennik!A:G,2,FALSE)</f>
        <v>SEVROLL 20041 csavar 2,5x18mm</v>
      </c>
      <c r="D37" s="27"/>
      <c r="E37" s="86">
        <f>+VLOOKUP(B37,cennik!A:G,3,FALSE)</f>
        <v>11.584149999999999</v>
      </c>
      <c r="F37" s="91">
        <f>+CEILING(D37,1)*E37</f>
        <v>0</v>
      </c>
      <c r="G37" s="87">
        <f>+F37*(100-G20)/100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Összekötő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Ft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Összekötő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ebben a színben és méretben az adott profilt nem gyártjuk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Ft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ütközés csillapító MINI 25 kg-ig (pár)</v>
      </c>
      <c r="B40" s="15">
        <v>318662</v>
      </c>
      <c r="C40" s="23" t="str">
        <f>+VLOOKUP(B40,cennik!A:G,2,FALSE)</f>
        <v>SEVROLL 20368-SV ütközés csillapító Mini SV25 (14-25kg)</v>
      </c>
      <c r="D40" s="27"/>
      <c r="E40" s="86">
        <f>+VLOOKUP(B40,cennik!A:G,3,FALSE)</f>
        <v>9041.7265599999992</v>
      </c>
      <c r="F40" s="91">
        <f>+CEILING(D40,1)*E40</f>
        <v>0</v>
      </c>
      <c r="G40" s="87">
        <f>+F40*(100-G24)/100</f>
        <v>0</v>
      </c>
      <c r="H40" s="5" t="str">
        <f>cennik!B2</f>
        <v>Ft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ütközés csillapító MINI 40 kg-ig (pár)</v>
      </c>
      <c r="B41" s="15">
        <v>283956</v>
      </c>
      <c r="C41" s="23" t="str">
        <f>+VLOOKUP(B41,cennik!A:G,2,FALSE)</f>
        <v>SEVROLL 20258-SV ütközés csillapító  Mini SV40 (25 - 40kg)</v>
      </c>
      <c r="D41" s="27"/>
      <c r="E41" s="86">
        <f>+VLOOKUP(B41,cennik!A:G,3,FALSE)</f>
        <v>9041.7265599999992</v>
      </c>
      <c r="F41" s="91">
        <f>+CEILING(D41,1)*E41</f>
        <v>0</v>
      </c>
      <c r="G41" s="87">
        <f>+F41*(100-G24)/100</f>
        <v>0</v>
      </c>
      <c r="H41" s="5" t="str">
        <f>cennik!B2</f>
        <v>Ft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csillapító a középső szárnyra 25 kg-ig</v>
      </c>
      <c r="B42" s="15">
        <v>318663</v>
      </c>
      <c r="C42" s="23" t="str">
        <f>+VLOOKUP(B42,cennik!A:G,2,FALSE)</f>
        <v>SEVROLL 20363-SV csillapító Central 10/18mm kétoldalú 25kg</v>
      </c>
      <c r="D42" s="27"/>
      <c r="E42" s="86">
        <f>+VLOOKUP(B42,cennik!A:G,3,FALSE)</f>
        <v>19364.876939999998</v>
      </c>
      <c r="F42" s="91">
        <f>+CEILING(D42,1)*E42</f>
        <v>0</v>
      </c>
      <c r="G42" s="87">
        <f>+F42*(100-G24)/100</f>
        <v>0</v>
      </c>
      <c r="H42" s="5" t="str">
        <f>cennik!B2</f>
        <v>Ft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csillapító a középső szárnyra 40 kg-ig</v>
      </c>
      <c r="B43" s="15">
        <v>283955</v>
      </c>
      <c r="C43" s="23" t="str">
        <f>+VLOOKUP(B43,cennik!A:G,2,FALSE)</f>
        <v>SEVROLL20319-SV  csillapító Central 10 / 18mm kétoldalas 25-40kg</v>
      </c>
      <c r="D43" s="27"/>
      <c r="E43" s="86">
        <f>+VLOOKUP(B43,cennik!A:G,3,FALSE)</f>
        <v>19364.876939999998</v>
      </c>
      <c r="F43" s="91">
        <f>+CEILING(D43,1)*E43</f>
        <v>0</v>
      </c>
      <c r="G43" s="87">
        <f>+F43*(100-G24)/100</f>
        <v>0</v>
      </c>
      <c r="H43" s="5" t="str">
        <f>cennik!B2</f>
        <v>Ft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porfogó kefe</v>
      </c>
      <c r="B44" s="15">
        <v>305348</v>
      </c>
      <c r="C44" s="23" t="str">
        <f>+VLOOKUP(B44,cennik!A:G,2,FALSE)</f>
        <v>SEVROLL 20082-BL porkefe 4,8x9mm szürke</v>
      </c>
      <c r="D44" s="28"/>
      <c r="E44" s="86">
        <f>+VLOOKUP(B44,cennik!A:G,3,FALSE)</f>
        <v>92.262690000000006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Sarok elem mini 11x17mm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Sarok elem mini 11x17mm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Sarok elem  mini11x17mm - 3,00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Sarok elem K2 t19x18mm - 1,7 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Sarok elem K2 19x18mm - 2,35 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Sarok elem K2 19x18mm - 3,00 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ek a 16mm hézak kitöltéséhez</v>
      </c>
      <c r="B51" s="15">
        <v>308631</v>
      </c>
      <c r="C51" s="475" t="str">
        <f>+VLOOKUP(B51,cennik!A:G,2,FALSE)</f>
        <v>SEVROLL 20252  ék rétegelt lemezhez vastagság 2mm (100 db)</v>
      </c>
      <c r="D51" s="27"/>
      <c r="E51" s="193">
        <f>+VLOOKUP(B51,cennik!A:G,3,FALSE)</f>
        <v>3385.3154599999998</v>
      </c>
      <c r="F51" s="99">
        <f t="shared" si="1"/>
        <v>0</v>
      </c>
      <c r="G51" s="98">
        <f>+F51*(100-G22)/100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tolóajtó zár</v>
      </c>
      <c r="B52" s="15">
        <v>216363</v>
      </c>
      <c r="C52" s="475" t="str">
        <f>+VLOOKUP(B52,cennik!A:G,2,FALSE)</f>
        <v>SEVROLL 20356 tolóajtó zár 10/18mm</v>
      </c>
      <c r="D52" s="27"/>
      <c r="E52" s="193">
        <f>+VLOOKUP(B52,cennik!A:G,3,FALSE)</f>
        <v>6243.0970299999999</v>
      </c>
      <c r="F52" s="99">
        <f t="shared" si="1"/>
        <v>0</v>
      </c>
      <c r="G52" s="98">
        <f>+F52*(100-G22)/100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További tartozékok tolóajtó rendszerekhez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Ennek a rendszernek műszaki rajza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Összesen áfával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Ft</v>
      </c>
      <c r="I56" s="166"/>
      <c r="J56" s="166"/>
      <c r="K56" s="4" t="str">
        <f>texty!A128</f>
        <v>ezüst</v>
      </c>
    </row>
    <row r="57" spans="1:13" ht="12.75" customHeight="1" x14ac:dyDescent="0.25">
      <c r="A57" s="70" t="str">
        <f>System10!A67</f>
        <v>Az Ön megjegyzése: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6" t="str">
        <f>profil!U15</f>
        <v/>
      </c>
      <c r="B58" s="697"/>
      <c r="C58" s="697"/>
      <c r="D58" s="697"/>
      <c r="E58" s="697"/>
      <c r="F58" s="697"/>
      <c r="G58" s="697"/>
      <c r="K58" s="4" t="str">
        <f>data!J17</f>
        <v>matt feket</v>
      </c>
    </row>
    <row r="59" spans="1:13" ht="12.75" customHeight="1" x14ac:dyDescent="0.25">
      <c r="A59" s="698" t="str">
        <f>IF(M59=1,texty!A215,IF(J59&gt;0,texty!A214,""))</f>
        <v>egyes tételek nem a kiválasztott hosszúságban készülnek</v>
      </c>
      <c r="B59" s="698"/>
      <c r="C59" s="698"/>
      <c r="D59" s="698"/>
      <c r="E59" s="698"/>
      <c r="F59" s="698"/>
      <c r="G59" s="698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2024 Bútorvasalat katalógus  old. 7.58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3" t="str">
        <f>IF(SUM(D50:D51)&gt;0,texty!A247,"")</f>
        <v/>
      </c>
      <c r="B13" s="683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3"/>
      <c r="B14" s="683"/>
      <c r="C14" s="607" t="str">
        <f>texty!A78</f>
        <v>Utólagos levonás a kiszámított magasságból  a betéteknél az elválasztó profilok használatakor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3" t="str">
        <f>IF(SUM(D52:D53)&gt;0,texty!A249,"")</f>
        <v/>
      </c>
      <c r="B15" s="683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3"/>
      <c r="B16" s="683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399.80439000000001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1435.1946800000001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1076.396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97.2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7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61.50817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A keret vízszintes profilja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Választható tartozékok:</v>
      </c>
      <c r="B43" s="7"/>
      <c r="C43" s="475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481.81545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Finomállító</v>
      </c>
      <c r="B45" s="590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143.51965000000001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11.584149999999999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Összekötő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Összekötő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61.50817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9041.7265599999992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9041.7265599999992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19364.876939999998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19364.876939999998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92.262690000000006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8" t="str">
        <f>IFERROR((CONCATENATE(texty!A7," ",D59," ",texty!A9)),"")</f>
        <v xml:space="preserve">Amennyiben mint betétet üveget/tükröt fog használni, tömítést kell rendelni. A tömítés hossza egy ajtószárnyra kb    amennyiben több ajtószárny van meg </v>
      </c>
      <c r="B57" s="718"/>
      <c r="C57" s="718"/>
      <c r="D57" s="718"/>
      <c r="E57" s="718"/>
      <c r="F57" s="718"/>
      <c r="G57" s="718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8"/>
      <c r="B58" s="718"/>
      <c r="C58" s="718"/>
      <c r="D58" s="718"/>
      <c r="E58" s="718"/>
      <c r="F58" s="718"/>
      <c r="G58" s="718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 xml:space="preserve"> A szükséges tömítés hossza a teljes beüvegezésnél (teljes métereket kell rendelni)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 xml:space="preserve"> A szükséges tömítés hossza a teljes beüvegezésnél (teljes métereket kell rendelni)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SEV-feler. ék Blue 40 db. (üveg 4mm ) </v>
      </c>
      <c r="B62" s="7">
        <v>349856</v>
      </c>
      <c r="C62" s="23" t="str">
        <f>+VLOOKUP(B62,cennik!A:G,2,FALSE)</f>
        <v>SEVROLL 20361  rögzítő ék Blue 40db (üveg 4mm)</v>
      </c>
      <c r="D62" s="41"/>
      <c r="E62" s="86">
        <f>+VLOOKUP(B62,cennik!A:G,3,FALSE)</f>
        <v>4838.6564200000003</v>
      </c>
      <c r="F62" s="86">
        <f>+E62*D62</f>
        <v>0</v>
      </c>
      <c r="G62" s="373">
        <f>+F62*(100-G28)/100</f>
        <v>0</v>
      </c>
      <c r="H62" s="7" t="str">
        <f>cennik!B2</f>
        <v>Ft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További tartozékok tolóajtó rendszerekhez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Ennek a rendszernek műszaki rajza</v>
      </c>
      <c r="B65" s="485">
        <v>128842</v>
      </c>
      <c r="C65" s="486" t="str">
        <f>VLOOKUP(B65,cennik!A:C,2,0)</f>
        <v>SEVROLL 20144 fúró fokozatos 6,5/9,5mm</v>
      </c>
      <c r="D65" s="41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5" t="str">
        <f>cennik!B2</f>
        <v>Ft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Összesen áfával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Ft</v>
      </c>
      <c r="I67" s="166"/>
      <c r="J67" s="166"/>
      <c r="K67" s="4" t="str">
        <f>texty!A128</f>
        <v>ezüst</v>
      </c>
    </row>
    <row r="68" spans="1:13" ht="12.75" customHeight="1" x14ac:dyDescent="0.25">
      <c r="A68" s="70" t="str">
        <f>System10!A67</f>
        <v>Az Ön megjegyzése: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6" t="str">
        <f>profil!U15</f>
        <v/>
      </c>
      <c r="B69" s="697"/>
      <c r="C69" s="697"/>
      <c r="D69" s="697"/>
      <c r="E69" s="697"/>
      <c r="F69" s="697"/>
      <c r="G69" s="697"/>
      <c r="K69" s="4" t="str">
        <f>data!J15</f>
        <v>fehér fényes</v>
      </c>
    </row>
    <row r="70" spans="1:13" ht="12.75" customHeight="1" x14ac:dyDescent="0.25">
      <c r="A70" s="698" t="str">
        <f>IF(M70=1,texty!A215,IF(J70&gt;0,texty!A214,""))</f>
        <v>egyes tételek nem a kiválasztott hosszúságban készülnek</v>
      </c>
      <c r="B70" s="698"/>
      <c r="C70" s="698"/>
      <c r="D70" s="698"/>
      <c r="E70" s="698"/>
      <c r="F70" s="698"/>
      <c r="G70" s="698"/>
      <c r="J70" s="5" t="e">
        <f>SUM(J30:J65)</f>
        <v>#N/A</v>
      </c>
      <c r="K70" s="4" t="str">
        <f>data!J17</f>
        <v>matt feket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(keretes)</v>
      </c>
      <c r="B2" s="50" t="str">
        <f>profil!T7</f>
        <v>Vevő, , VSZ: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2024 Bútorvasalat katalógus  old. 5.77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466" t="str">
        <f>texty!A36</f>
        <v>az ajtók száma</v>
      </c>
      <c r="E3" s="8" t="str">
        <f>texty!A37</f>
        <v>szín</v>
      </c>
      <c r="F3" s="5"/>
      <c r="G3" s="5"/>
      <c r="K3" s="5"/>
    </row>
    <row r="4" spans="1:21" ht="25.5" customHeight="1" x14ac:dyDescent="0.25">
      <c r="A4" s="9" t="str">
        <f>texty!A70</f>
        <v>A SZEKRÉNY BELSŐ MÉRETE</v>
      </c>
      <c r="B4" s="52"/>
      <c r="C4" s="52"/>
      <c r="D4" s="20"/>
      <c r="E4" s="20"/>
      <c r="F4" s="705"/>
      <c r="G4" s="705"/>
      <c r="H4" s="705"/>
      <c r="I4" s="705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1" t="str">
        <f>texty!A46</f>
        <v>töltsék ki ezt a 4 sort !!! Adatok mm-ben</v>
      </c>
      <c r="C5" s="681"/>
      <c r="D5" s="681"/>
      <c r="E5" s="681"/>
      <c r="F5" s="705"/>
      <c r="G5" s="705"/>
      <c r="H5" s="705"/>
      <c r="I5" s="705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5"/>
      <c r="G6" s="705"/>
      <c r="H6" s="705"/>
      <c r="I6" s="705"/>
      <c r="J6" s="173"/>
      <c r="K6" s="5"/>
      <c r="Q6" s="684" t="s">
        <v>542</v>
      </c>
      <c r="R6" s="684" t="s">
        <v>700</v>
      </c>
      <c r="S6" s="684" t="s">
        <v>701</v>
      </c>
      <c r="T6" s="684" t="s">
        <v>545</v>
      </c>
    </row>
    <row r="7" spans="1:21" ht="12.75" customHeight="1" x14ac:dyDescent="0.25">
      <c r="A7" s="9" t="str">
        <f>texty!A71</f>
        <v>ajtó szárny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Abban az esetben, ha betét üveg ,</v>
      </c>
      <c r="G7" s="5"/>
      <c r="K7" s="5"/>
      <c r="N7" s="15" t="e">
        <f>IF(K11="jiné",L12,K11)</f>
        <v>#VALUE!</v>
      </c>
      <c r="O7" s="19">
        <f>+E4</f>
        <v>0</v>
      </c>
      <c r="Q7" s="684"/>
      <c r="R7" s="684"/>
      <c r="S7" s="684"/>
      <c r="T7" s="684"/>
    </row>
    <row r="8" spans="1:21" ht="12.75" customHeight="1" x14ac:dyDescent="0.25">
      <c r="A8" s="9" t="str">
        <f>texty!A48</f>
        <v>A betét mérete 18 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 biztonsági üveget kell használni,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a tükör/üveg mérete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vagy az üveget bebiztosítani védő fóliával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a vezető és takaró profil mérete 1 szárnyra</v>
      </c>
      <c r="B10" s="53"/>
      <c r="C10" s="56" t="str">
        <f>IFERROR((C7-57),"")</f>
        <v/>
      </c>
      <c r="D10" s="7"/>
      <c r="E10" s="7"/>
      <c r="F10" s="3" t="str">
        <f>texty!A44</f>
        <v>Az ajtószárny maximális súlya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alsó/felső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fogantyú profil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2.8" x14ac:dyDescent="0.25">
      <c r="A13" s="683" t="str">
        <f>IF(SUM(D50:D51)&gt;0,texty!A247,"")</f>
        <v/>
      </c>
      <c r="B13" s="683"/>
      <c r="C13" s="607" t="str">
        <f>texty!A78</f>
        <v>Utólagos levonás a kiszámított magasságból  a betéteknél az elválasztó profilok használatakor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3"/>
      <c r="B14" s="683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3" t="str">
        <f>IF(SUM(D52:D53)&gt;0,texty!A249,"")</f>
        <v/>
      </c>
      <c r="B15" s="683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3"/>
      <c r="B16" s="683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hézak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árengedmény: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Megrendelési kódok, árak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megnevezés</v>
      </c>
      <c r="D29" s="17" t="str">
        <f>+System10!D27</f>
        <v>db</v>
      </c>
      <c r="E29" s="17" t="str">
        <f>+System10!E27</f>
        <v>db ár</v>
      </c>
      <c r="F29" s="17" t="str">
        <f>+System10!F27</f>
        <v>ár összesen</v>
      </c>
      <c r="G29" s="18" t="str">
        <f>+System10!G27</f>
        <v>összesen nettó</v>
      </c>
      <c r="I29" s="16" t="str">
        <f>texty!A29</f>
        <v>Megjegyzés: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Felső profil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Ft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Alsó profil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Ft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takaró elem alsó vezetésre</v>
      </c>
      <c r="B32" s="15">
        <v>216362</v>
      </c>
      <c r="C32" s="23" t="str">
        <f>+VLOOKUP(B32,cennik!A:G,2,FALSE)</f>
        <v>SEVROLL 20223 takaró profil alsó vezetésre Simple/Blue átlátszó</v>
      </c>
      <c r="D32" s="15">
        <f>CEILING(C4/1000,1)</f>
        <v>0</v>
      </c>
      <c r="E32" s="86">
        <f>+VLOOKUP(B32,cennik!A:G,3,FALSE)</f>
        <v>399.80439000000001</v>
      </c>
      <c r="F32" s="86">
        <f>+E32*D32</f>
        <v>0</v>
      </c>
      <c r="G32" s="87">
        <f>+F32*(100-G28)/100</f>
        <v>0</v>
      </c>
      <c r="H32" s="5" t="str">
        <f>cennik!B2</f>
        <v>Ft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Felső kocsi (szett)</v>
      </c>
      <c r="B33" s="15">
        <v>349732</v>
      </c>
      <c r="C33" s="23" t="str">
        <f>+VLOOKUP(B33,cennik!A:G,2,FALSE)</f>
        <v>SEVROLL 10218  felső görgő Blue (18 mm-es rétegeltlemez) keretes J+B</v>
      </c>
      <c r="D33" s="15">
        <f>+D4</f>
        <v>0</v>
      </c>
      <c r="E33" s="86">
        <f>+VLOOKUP(B33,cennik!A:G,3,FALSE)</f>
        <v>1435.1946800000001</v>
      </c>
      <c r="F33" s="86">
        <f>+E33*D33</f>
        <v>0</v>
      </c>
      <c r="G33" s="87">
        <f>+F33*(100-G28)/100</f>
        <v>0</v>
      </c>
      <c r="H33" s="5" t="str">
        <f>cennik!B2</f>
        <v>Ft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Alsó kocsi (szett)</v>
      </c>
      <c r="B34" s="15">
        <v>229446</v>
      </c>
      <c r="C34" s="23" t="str">
        <f>+VLOOKUP(B34,cennik!A:G,2,FALSE)</f>
        <v>SEVROLL 10223 alsó görgő Simple/Blue V (keretes rendszer) - 2db</v>
      </c>
      <c r="D34" s="15">
        <f>+D4</f>
        <v>0</v>
      </c>
      <c r="E34" s="86">
        <f>+VLOOKUP(B34,cennik!A:G,3,FALSE)</f>
        <v>1076.396</v>
      </c>
      <c r="F34" s="86">
        <f>+E34*D34</f>
        <v>0</v>
      </c>
      <c r="G34" s="87">
        <f>+F34*(100-G28)/100</f>
        <v>0</v>
      </c>
      <c r="H34" s="5" t="str">
        <f>cennik!B2</f>
        <v>Ft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támfalas kefe</v>
      </c>
      <c r="B35" s="15">
        <v>98067</v>
      </c>
      <c r="C35" s="23" t="str">
        <f>+VLOOKUP(B35,cennik!A:G,2,FALSE)</f>
        <v>SEVROLL támfalas kefe becsúsztatható 14x4mm szürke</v>
      </c>
      <c r="D35" s="15">
        <f>CEILING((B4*D4*2/1000),1)</f>
        <v>0</v>
      </c>
      <c r="E35" s="86">
        <f>+VLOOKUP(B35,cennik!A:G,3,FALSE)</f>
        <v>97.2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Ft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Fogantyú profil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Ft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Összekötő csavar</v>
      </c>
      <c r="B37" s="15">
        <v>346726</v>
      </c>
      <c r="C37" s="23" t="str">
        <f>+VLOOKUP(B37,cennik!A:G,2,FALSE)</f>
        <v>SEVROLL 20371 csavar Blue 6,3x45</v>
      </c>
      <c r="D37" s="15">
        <f>+D4*4</f>
        <v>0</v>
      </c>
      <c r="E37" s="86">
        <f>+VLOOKUP(B37,cennik!A:G,3,FALSE)</f>
        <v>61.50817</v>
      </c>
      <c r="F37" s="86">
        <f t="shared" si="0"/>
        <v>0</v>
      </c>
      <c r="G37" s="87">
        <f>+F37*(100-G28)/100</f>
        <v>0</v>
      </c>
      <c r="H37" s="5" t="str">
        <f>cennik!B2</f>
        <v>Ft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A keret fölső profilja (sín)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Ft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A keret fölső profilja (sín)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Ft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A keret vízszintes profilja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Ft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A keret vízszintes profilja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Ft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Választható tartozékok:</v>
      </c>
      <c r="B43" s="7"/>
      <c r="C43" s="475"/>
      <c r="D43" s="24" t="str">
        <f>System10!D41</f>
        <v>adja be a db számot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Finomállító felső vezetéshez</v>
      </c>
      <c r="B44" s="7">
        <v>298035</v>
      </c>
      <c r="C44" s="23" t="str">
        <f>+VLOOKUP(B44,cennik!A:G,2,FALSE)</f>
        <v>SEVROLL 20326 Fix Fix finomállító felső görgő-höz transzparens</v>
      </c>
      <c r="D44" s="27"/>
      <c r="E44" s="86">
        <f>+VLOOKUP(B44,cennik!A:G,3,FALSE)</f>
        <v>481.81545</v>
      </c>
      <c r="F44" s="91">
        <f>+CEILING(D44,1)*E44</f>
        <v>0</v>
      </c>
      <c r="G44" s="87">
        <f>+F44*(100-G28)/100</f>
        <v>0</v>
      </c>
      <c r="H44" s="5" t="str">
        <f>cennik!B2</f>
        <v>Ft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Finomállító</v>
      </c>
      <c r="B45" s="590">
        <v>229681</v>
      </c>
      <c r="C45" s="23" t="str">
        <f>+VLOOKUP(B45,cennik!A:G,2,FALSE)</f>
        <v>SEVROLL 10163 Simple/Blue finomállító alsó görgő-höz</v>
      </c>
      <c r="D45" s="27"/>
      <c r="E45" s="86">
        <f>+VLOOKUP(B45,cennik!A:G,3,FALSE)</f>
        <v>143.51965000000001</v>
      </c>
      <c r="F45" s="86">
        <f>+E45*D45</f>
        <v>0</v>
      </c>
      <c r="G45" s="87">
        <f>+F45*(100-G28)/100</f>
        <v>0</v>
      </c>
      <c r="H45" s="5" t="str">
        <f>cennik!B2</f>
        <v>Ft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Csavar az alsó sínre</v>
      </c>
      <c r="B46" s="7">
        <v>98019</v>
      </c>
      <c r="C46" s="23" t="str">
        <f>+VLOOKUP(B46,cennik!A:G,2,FALSE)</f>
        <v>SEVROLL 20041 csavar 2,5x18mm</v>
      </c>
      <c r="D46" s="27"/>
      <c r="E46" s="86">
        <f>+VLOOKUP(B46,cennik!A:G,3,FALSE)</f>
        <v>11.584149999999999</v>
      </c>
      <c r="F46" s="91">
        <f>+CEILING(D46,1)*E46</f>
        <v>0</v>
      </c>
      <c r="G46" s="87">
        <f>+F46*(100-G24)/100</f>
        <v>0</v>
      </c>
      <c r="H46" s="5" t="str">
        <f>cennik!B2</f>
        <v>Ft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Összekötő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Ft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Összekötő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ebben a színben és méretben az adott profilt nem gyártjuk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Ft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Összekötő csavar</v>
      </c>
      <c r="B49" s="15">
        <v>346726</v>
      </c>
      <c r="C49" s="23" t="str">
        <f>+VLOOKUP(B49,cennik!A:G,2,FALSE)</f>
        <v>SEVROLL 20371 csavar Blue 6,3x45</v>
      </c>
      <c r="D49" s="28"/>
      <c r="E49" s="86">
        <f>+VLOOKUP(B49,cennik!A:G,3,FALSE)</f>
        <v>61.50817</v>
      </c>
      <c r="F49" s="86">
        <f>+E49*D49</f>
        <v>0</v>
      </c>
      <c r="G49" s="87">
        <f>+F49*(100-G28)/100</f>
        <v>0</v>
      </c>
      <c r="H49" s="5" t="str">
        <f>cennik!B2</f>
        <v>Ft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ütközés csillapító MINI 25 kg-ig (pár)</v>
      </c>
      <c r="B50" s="15">
        <v>318662</v>
      </c>
      <c r="C50" s="23" t="str">
        <f>+VLOOKUP(B50,cennik!A:G,2,FALSE)</f>
        <v>SEVROLL 20368-SV ütközés csillapító Mini SV25 (14-25kg)</v>
      </c>
      <c r="D50" s="27"/>
      <c r="E50" s="86">
        <f>+VLOOKUP(B50,cennik!A:G,3,FALSE)</f>
        <v>9041.7265599999992</v>
      </c>
      <c r="F50" s="91">
        <f>+CEILING(D50,1)*E50</f>
        <v>0</v>
      </c>
      <c r="G50" s="87">
        <f>+F50*(100-G28)/100</f>
        <v>0</v>
      </c>
      <c r="H50" s="5" t="str">
        <f>cennik!B2</f>
        <v>Ft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ütközés csillapító MINI 40 kg-ig (pár)</v>
      </c>
      <c r="B51" s="15">
        <v>283956</v>
      </c>
      <c r="C51" s="23" t="str">
        <f>+VLOOKUP(B51,cennik!A:G,2,FALSE)</f>
        <v>SEVROLL 20258-SV ütközés csillapító  Mini SV40 (25 - 40kg)</v>
      </c>
      <c r="D51" s="27"/>
      <c r="E51" s="86">
        <f>+VLOOKUP(B51,cennik!A:G,3,FALSE)</f>
        <v>9041.7265599999992</v>
      </c>
      <c r="F51" s="91">
        <f>+CEILING(D51,1)*E51</f>
        <v>0</v>
      </c>
      <c r="G51" s="87">
        <f>+F51*(100-G28)/100</f>
        <v>0</v>
      </c>
      <c r="H51" s="5" t="str">
        <f>cennik!B2</f>
        <v>Ft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csillapító a középső szárnyra 25 kg-ig</v>
      </c>
      <c r="B52" s="15">
        <v>318663</v>
      </c>
      <c r="C52" s="23" t="str">
        <f>+VLOOKUP(B52,cennik!A:G,2,FALSE)</f>
        <v>SEVROLL 20363-SV csillapító Central 10/18mm kétoldalú 25kg</v>
      </c>
      <c r="D52" s="27"/>
      <c r="E52" s="86">
        <f>+VLOOKUP(B52,cennik!A:G,3,FALSE)</f>
        <v>19364.876939999998</v>
      </c>
      <c r="F52" s="91">
        <f>+CEILING(D52,1)*E52</f>
        <v>0</v>
      </c>
      <c r="G52" s="87">
        <f>+F52*(100-G28)/100</f>
        <v>0</v>
      </c>
      <c r="H52" s="5" t="str">
        <f>cennik!B2</f>
        <v>Ft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csillapító a középső szárnyra 40 kg-ig</v>
      </c>
      <c r="B53" s="15">
        <v>283955</v>
      </c>
      <c r="C53" s="23" t="str">
        <f>+VLOOKUP(B53,cennik!A:G,2,FALSE)</f>
        <v>SEVROLL20319-SV  csillapító Central 10 / 18mm kétoldalas 25-40kg</v>
      </c>
      <c r="D53" s="27"/>
      <c r="E53" s="86">
        <f>+VLOOKUP(B53,cennik!A:G,3,FALSE)</f>
        <v>19364.876939999998</v>
      </c>
      <c r="F53" s="91">
        <f>+CEILING(D53,1)*E53</f>
        <v>0</v>
      </c>
      <c r="G53" s="87">
        <f>+F53*(100-G28)/100</f>
        <v>0</v>
      </c>
      <c r="H53" s="5" t="str">
        <f>cennik!B2</f>
        <v>Ft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porfogó kefe</v>
      </c>
      <c r="B54" s="15">
        <v>305348</v>
      </c>
      <c r="C54" s="23" t="str">
        <f>+VLOOKUP(B54,cennik!A:G,2,FALSE)</f>
        <v>SEVROLL 20082-BL porkefe 4,8x9mm szürke</v>
      </c>
      <c r="D54" s="28"/>
      <c r="E54" s="86">
        <f>+VLOOKUP(B54,cennik!A:G,3,FALSE)</f>
        <v>92.262690000000006</v>
      </c>
      <c r="F54" s="86">
        <f>+E54*D54</f>
        <v>0</v>
      </c>
      <c r="G54" s="87">
        <f>+F54*(100-G28)/100</f>
        <v>0</v>
      </c>
      <c r="H54" s="5" t="str">
        <f>cennik!B2</f>
        <v>Ft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8" t="str">
        <f>IFERROR((CONCATENATE(texty!A7," ",D58," ",texty!A9)),"")</f>
        <v xml:space="preserve">Amennyiben mint betétet üveget/tükröt fog használni, tömítést kell rendelni. A tömítés hossza egy ajtószárnyra kb    amennyiben több ajtószárny van meg </v>
      </c>
      <c r="B56" s="718"/>
      <c r="C56" s="718"/>
      <c r="D56" s="718"/>
      <c r="E56" s="718"/>
      <c r="F56" s="718"/>
      <c r="G56" s="718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8"/>
      <c r="B57" s="718"/>
      <c r="C57" s="718"/>
      <c r="D57" s="718"/>
      <c r="E57" s="718"/>
      <c r="F57" s="718"/>
      <c r="G57" s="718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 xml:space="preserve"> A szükséges tömítés hossza a teljes beüvegezésnél (teljes métereket kell rendelni)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 xml:space="preserve"> A szükséges tömítés hossza a teljes beüvegezésnél (teljes métereket kell rendelni)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SEV-feler. ék Blue 40 db. (üveg 4mm ) </v>
      </c>
      <c r="B61" s="7">
        <v>349856</v>
      </c>
      <c r="C61" s="23" t="str">
        <f>+VLOOKUP(B61,cennik!A:G,2,FALSE)</f>
        <v>SEVROLL 20361  rögzítő ék Blue 40db (üveg 4mm)</v>
      </c>
      <c r="D61" s="41"/>
      <c r="E61" s="86">
        <f>+VLOOKUP(B61,cennik!A:G,3,FALSE)</f>
        <v>4838.6564200000003</v>
      </c>
      <c r="F61" s="86">
        <f>+E61*D61</f>
        <v>0</v>
      </c>
      <c r="G61" s="373">
        <f>+F61*(100-G28)/100</f>
        <v>0</v>
      </c>
      <c r="H61" s="7" t="str">
        <f>cennik!B2</f>
        <v>Ft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További tartozékok tolóajtó rendszerekhez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Ennek a rendszernek műszaki rajza</v>
      </c>
      <c r="B64" s="487">
        <v>128842</v>
      </c>
      <c r="C64" s="486" t="str">
        <f>VLOOKUP(B64,cennik!A:C,2,0)</f>
        <v>SEVROLL 20144 fúró fokozatos 6,5/9,5mm</v>
      </c>
      <c r="D64" s="41"/>
      <c r="E64" s="86">
        <f>+VLOOKUP(B64,cennik!A:G,3,FALSE)</f>
        <v>10898.66318</v>
      </c>
      <c r="F64" s="91">
        <f>+CEILING(D64,1)*E64</f>
        <v>0</v>
      </c>
      <c r="G64" s="373">
        <f>+F64</f>
        <v>0</v>
      </c>
      <c r="H64" s="7" t="str">
        <f>cennik!B2</f>
        <v>Ft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Összesen áfával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Ft</v>
      </c>
      <c r="I66" s="166"/>
      <c r="J66" s="166"/>
      <c r="K66" s="4" t="str">
        <f>texty!A128</f>
        <v>ezüst</v>
      </c>
    </row>
    <row r="67" spans="1:13" ht="12.75" customHeight="1" x14ac:dyDescent="0.25">
      <c r="A67" s="70" t="str">
        <f>System10!A67</f>
        <v>Az Ön megjegyzése:</v>
      </c>
      <c r="B67" s="703"/>
      <c r="C67" s="704"/>
      <c r="D67" s="704"/>
      <c r="E67" s="704"/>
      <c r="F67" s="704"/>
      <c r="G67" s="704"/>
      <c r="K67" s="4" t="str">
        <f>texty!A130</f>
        <v>oliva</v>
      </c>
    </row>
    <row r="68" spans="1:13" ht="12.75" customHeight="1" x14ac:dyDescent="0.25">
      <c r="A68" s="696" t="str">
        <f>profil!U15</f>
        <v/>
      </c>
      <c r="B68" s="697"/>
      <c r="C68" s="697"/>
      <c r="D68" s="697"/>
      <c r="E68" s="697"/>
      <c r="F68" s="697"/>
      <c r="G68" s="697"/>
      <c r="K68" s="4" t="str">
        <f>data!J17</f>
        <v>matt feket</v>
      </c>
    </row>
    <row r="69" spans="1:13" ht="12.75" customHeight="1" x14ac:dyDescent="0.25">
      <c r="A69" s="698" t="str">
        <f>IF(M69=1,texty!A215,IF(J69&gt;0,texty!A214,""))</f>
        <v>egyes tételek nem a kiválasztott hosszúságban készülnek</v>
      </c>
      <c r="B69" s="698"/>
      <c r="C69" s="698"/>
      <c r="D69" s="698"/>
      <c r="E69" s="698"/>
      <c r="F69" s="698"/>
      <c r="G69" s="698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39.6" x14ac:dyDescent="0.25">
      <c r="F72" s="403" t="str">
        <f>texty!$A$21</f>
        <v>partner árengedmény:</v>
      </c>
    </row>
    <row r="73" spans="1:6" x14ac:dyDescent="0.25">
      <c r="F73" s="131">
        <f>profil!C$15</f>
        <v>0</v>
      </c>
    </row>
    <row r="74" spans="1:6" ht="39.6" x14ac:dyDescent="0.25">
      <c r="C74" s="404" t="str">
        <f>texty!A33</f>
        <v>adja be a db számot</v>
      </c>
      <c r="D74" s="157" t="str">
        <f>texty!$A$18</f>
        <v>db ár</v>
      </c>
      <c r="E74" s="157" t="str">
        <f>texty!$A$19</f>
        <v>ár összesen</v>
      </c>
    </row>
    <row r="75" spans="1:6" x14ac:dyDescent="0.25">
      <c r="A75">
        <v>222761</v>
      </c>
      <c r="B75" t="str">
        <f>VLOOKUP(A75,cennik!A:C,2,0)</f>
        <v>SEVROLL sablon görgőkhöz 18 mm-es rétegeltlemez</v>
      </c>
      <c r="C75" s="27"/>
      <c r="D75">
        <f>+VLOOKUP(A75,cennik!$A:$G,3,FALSE)</f>
        <v>1662.2421200000001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Összesen áfával</v>
      </c>
      <c r="D81" s="159"/>
      <c r="E81" s="159"/>
      <c r="F81" s="160">
        <f>SUM(F75:F79)</f>
        <v>0</v>
      </c>
      <c r="G81" t="str">
        <f>cennik!$B$2</f>
        <v>Ft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9" t="str">
        <f>texty!A193</f>
        <v xml:space="preserve">Vissza a főoldalra </v>
      </c>
      <c r="B1" s="719"/>
      <c r="F1" s="272" t="str">
        <f>texty!$A$21</f>
        <v>partner árengedmény:</v>
      </c>
    </row>
    <row r="2" spans="1:7" x14ac:dyDescent="0.25">
      <c r="F2" s="279"/>
    </row>
    <row r="3" spans="1:7" ht="41.25" customHeight="1" x14ac:dyDescent="0.25">
      <c r="A3" s="268" t="str">
        <f>texty!A190</f>
        <v>További tartozékok tolóajtó rendszerekhez</v>
      </c>
      <c r="C3" s="275" t="str">
        <f>texty!A33</f>
        <v>adja be a db számot</v>
      </c>
      <c r="D3" s="272" t="str">
        <f>texty!$A$18</f>
        <v>db ár</v>
      </c>
      <c r="E3" s="272" t="str">
        <f>texty!$A$19</f>
        <v>ár összesen</v>
      </c>
    </row>
    <row r="4" spans="1:7" x14ac:dyDescent="0.25">
      <c r="A4" s="267">
        <v>129677</v>
      </c>
      <c r="B4" s="267" t="str">
        <f>VLOOKUP(A4,cennik!A:C,2,0)</f>
        <v>SEVROLL 20173 szerelő eszköz 10 mm-es rétegelt lemezre kicsi</v>
      </c>
      <c r="C4" s="278"/>
      <c r="D4" s="267">
        <f>+VLOOKUP(A4,cennik!$A:$G,3,FALSE)</f>
        <v>4493.0024999999996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fúró fokozatos 6,5/9,5mm</v>
      </c>
      <c r="C5" s="278"/>
      <c r="D5" s="267">
        <f>+VLOOKUP(A5,cennik!$A:$G,3,FALSE)</f>
        <v>10898.66318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kapocs támfalas keféhez</v>
      </c>
      <c r="C6" s="278"/>
      <c r="D6" s="267">
        <f>+VLOOKUP(A6,cennik!$A:$G,3,FALSE)</f>
        <v>30.754100000000001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IF-takarós.önt.20mm 15db 93336 alu matt</v>
      </c>
      <c r="C7" s="278"/>
      <c r="D7" s="267" t="e">
        <f>+VLOOKUP(A7,cennik!$A:$G,3,FALSE)</f>
        <v>#N/A</v>
      </c>
      <c r="E7" s="273" t="e">
        <f>D7*C7</f>
        <v>#N/A</v>
      </c>
      <c r="F7" s="273" t="e">
        <f>+E7</f>
        <v>#N/A</v>
      </c>
      <c r="G7" s="267" t="str">
        <f>CONCATENATE("(20 ",texty!$A$17,"; ",texty!$A$18,")")</f>
        <v>(20 db; db ár)</v>
      </c>
    </row>
    <row r="8" spans="1:7" x14ac:dyDescent="0.25">
      <c r="A8" s="267">
        <v>283283</v>
      </c>
      <c r="B8" s="19" t="str">
        <f>+VLOOKUP(A8,cennik!$A:$G,2,FALSE)</f>
        <v>IF-ragasztott csavar takaró.13mm 20db 06 oliva metál</v>
      </c>
      <c r="C8" s="278"/>
      <c r="D8" s="267" t="e">
        <f>+VLOOKUP(A8,cennik!$A:$G,3,FALSE)</f>
        <v>#N/A</v>
      </c>
      <c r="E8" s="273" t="e">
        <f>D8*C8</f>
        <v>#N/A</v>
      </c>
      <c r="F8" s="273" t="e">
        <f>+E8</f>
        <v>#N/A</v>
      </c>
      <c r="G8" s="267" t="str">
        <f>CONCATENATE("(20 ",texty!$A$17,"; ",texty!$A$18,")")</f>
        <v>(20 db; db ár)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EGYSZERŰ VEZETÉS BEÉPÍTETT SZEKRÉNYEKHEZ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  01255 Single felső vezetés 1,7m ezüst</v>
      </c>
      <c r="C13" s="278"/>
      <c r="D13" s="273">
        <f>+VLOOKUP(A13,cennik!$A:$G,3,FALSE)</f>
        <v>5646.1202800000001</v>
      </c>
      <c r="E13" s="273">
        <f>D13*C13</f>
        <v>0</v>
      </c>
      <c r="F13" s="273">
        <f>+E13*(100-$F$2)/100</f>
        <v>0</v>
      </c>
      <c r="G13" s="267" t="str">
        <f>cennik!$B$2</f>
        <v>Ft</v>
      </c>
    </row>
    <row r="14" spans="1:7" x14ac:dyDescent="0.25">
      <c r="A14" s="267">
        <v>89032</v>
      </c>
      <c r="B14" s="267" t="str">
        <f>VLOOKUP(A14,cennik!A:C,2,0)</f>
        <v>SEVROLL  01256  Single felső vezetés 2,35m ezüst</v>
      </c>
      <c r="C14" s="278"/>
      <c r="D14" s="273">
        <f>+VLOOKUP(A14,cennik!$A:$G,3,FALSE)</f>
        <v>7796.5558300000002</v>
      </c>
      <c r="E14" s="273">
        <f>D14*C14</f>
        <v>0</v>
      </c>
      <c r="F14" s="273">
        <f>+E14*(100-$F$2)/100</f>
        <v>0</v>
      </c>
      <c r="G14" s="267" t="str">
        <f>cennik!$B$2</f>
        <v>Ft</v>
      </c>
    </row>
    <row r="15" spans="1:7" x14ac:dyDescent="0.25">
      <c r="A15" s="267">
        <v>89035</v>
      </c>
      <c r="B15" s="267" t="str">
        <f>VLOOKUP(A15,cennik!A:C,2,0)</f>
        <v>SEVROLL  01257  Single felső vezetés 3m ezüst</v>
      </c>
      <c r="C15" s="278"/>
      <c r="D15" s="273">
        <f>+VLOOKUP(A15,cennik!$A:$G,3,FALSE)</f>
        <v>9966.6297300000006</v>
      </c>
      <c r="E15" s="273">
        <f>D15*C15</f>
        <v>0</v>
      </c>
      <c r="F15" s="273">
        <f>+E15*(100-$F$2)/100</f>
        <v>0</v>
      </c>
      <c r="G15" s="267" t="str">
        <f>cennik!$B$2</f>
        <v>Ft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alsó vezetés 3m ezüst</v>
      </c>
      <c r="C18" s="278"/>
      <c r="D18" s="273">
        <f>+VLOOKUP(A18,cennik!$A:$G,3,FALSE)</f>
        <v>3299.2979500000001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Ft</v>
      </c>
    </row>
    <row r="19" spans="1:7" x14ac:dyDescent="0.25">
      <c r="A19" s="267">
        <v>197753</v>
      </c>
      <c r="B19" s="267" t="str">
        <f>VLOOKUP(A19,cennik!A:C,2,0)</f>
        <v>SEVROLL02581  Hide N alsó vezetés 3m ezüst</v>
      </c>
      <c r="C19" s="278"/>
      <c r="D19" s="273">
        <f>+VLOOKUP(A19,cennik!$A:$G,3,FALSE)</f>
        <v>4801.6572299999998</v>
      </c>
      <c r="E19" s="273">
        <f t="shared" si="0"/>
        <v>0</v>
      </c>
      <c r="F19" s="273">
        <f t="shared" si="1"/>
        <v>0</v>
      </c>
      <c r="G19" s="267" t="str">
        <f>cennik!$B$2</f>
        <v>Ft</v>
      </c>
    </row>
    <row r="20" spans="1:7" x14ac:dyDescent="0.25">
      <c r="A20" s="267">
        <v>223405</v>
      </c>
      <c r="B20" s="267" t="str">
        <f>VLOOKUP(A20,cennik!A:C,2,0)</f>
        <v>SEVROLL Hide M alsó vezetés 3m oliva</v>
      </c>
      <c r="C20" s="278"/>
      <c r="D20" s="273">
        <f>+VLOOKUP(A20,cennik!$A:$G,3,FALSE)</f>
        <v>4006.2905000000001</v>
      </c>
      <c r="E20" s="273">
        <f t="shared" si="0"/>
        <v>0</v>
      </c>
      <c r="F20" s="273">
        <f t="shared" si="1"/>
        <v>0</v>
      </c>
      <c r="G20" s="267" t="str">
        <f>cennik!$B$2</f>
        <v>Ft</v>
      </c>
    </row>
    <row r="21" spans="1:7" x14ac:dyDescent="0.25">
      <c r="A21" s="267">
        <v>197755</v>
      </c>
      <c r="B21" s="267" t="str">
        <f>VLOOKUP(A21,cennik!A:C,2,0)</f>
        <v>SEVROLL Hide N alsó sín 3m oliva</v>
      </c>
      <c r="C21" s="278"/>
      <c r="D21" s="273">
        <f>+VLOOKUP(A21,cennik!$A:$G,3,FALSE)</f>
        <v>5626.48153</v>
      </c>
      <c r="E21" s="273">
        <f t="shared" si="0"/>
        <v>0</v>
      </c>
      <c r="F21" s="273">
        <f t="shared" si="1"/>
        <v>0</v>
      </c>
      <c r="G21" s="267" t="str">
        <f>cennik!$B$2</f>
        <v>Ft</v>
      </c>
    </row>
    <row r="22" spans="1:7" x14ac:dyDescent="0.25">
      <c r="A22" s="267">
        <v>279078</v>
      </c>
      <c r="B22" s="267" t="str">
        <f>VLOOKUP(A22,cennik!A:C,2,0)</f>
        <v>SEVROLL Hide N alsó vezetés 6m oliva</v>
      </c>
      <c r="C22" s="278"/>
      <c r="D22" s="273">
        <f>+VLOOKUP(A22,cennik!$A:$G,3,FALSE)</f>
        <v>11252.96305</v>
      </c>
      <c r="E22" s="273">
        <f t="shared" si="0"/>
        <v>0</v>
      </c>
      <c r="F22" s="273">
        <f t="shared" si="1"/>
        <v>0</v>
      </c>
      <c r="G22" s="267" t="str">
        <f>cennik!$B$2</f>
        <v>Ft</v>
      </c>
    </row>
    <row r="23" spans="1:7" x14ac:dyDescent="0.25">
      <c r="A23" s="267">
        <v>212613</v>
      </c>
      <c r="B23" s="267" t="str">
        <f>VLOOKUP(A23,cennik!A:C,2,0)</f>
        <v>SEVROLL 20208 végzáró Hide N profilhoz ezüst</v>
      </c>
      <c r="C23" s="278"/>
      <c r="D23" s="273">
        <f>+VLOOKUP(A23,cennik!$A:$G,3,FALSE)</f>
        <v>2073.2554399999999</v>
      </c>
      <c r="E23" s="273">
        <f t="shared" si="0"/>
        <v>0</v>
      </c>
      <c r="F23" s="273">
        <f t="shared" si="1"/>
        <v>0</v>
      </c>
      <c r="G23" s="267" t="str">
        <f>cennik!$B$2</f>
        <v>Ft</v>
      </c>
    </row>
    <row r="24" spans="1:7" x14ac:dyDescent="0.25">
      <c r="A24" s="267">
        <v>212616</v>
      </c>
      <c r="B24" s="267" t="str">
        <f>VLOOKUP(A24,cennik!A:C,2,0)</f>
        <v>SEVROLL 20208 fék Hide N és M profilhoz</v>
      </c>
      <c r="C24" s="278"/>
      <c r="D24" s="273">
        <f>+VLOOKUP(A24,cennik!$A:$G,3,FALSE)</f>
        <v>1041.6357</v>
      </c>
      <c r="E24" s="273">
        <f t="shared" si="0"/>
        <v>0</v>
      </c>
      <c r="F24" s="273">
        <f t="shared" si="1"/>
        <v>0</v>
      </c>
      <c r="G24" s="267" t="str">
        <f>cennik!$B$2</f>
        <v>Ft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 01135 Smart alsó vezetés 1,7m ezüst</v>
      </c>
      <c r="C27" s="278"/>
      <c r="D27" s="273">
        <f>+VLOOKUP(A27,cennik!$A:$G,3,FALSE)</f>
        <v>1502.35897</v>
      </c>
      <c r="E27" s="273">
        <f>D27*C27</f>
        <v>0</v>
      </c>
      <c r="F27" s="273">
        <f>+E27*(100-$F$2)/100</f>
        <v>0</v>
      </c>
      <c r="G27" s="267" t="str">
        <f>cennik!$B$2</f>
        <v>Ft</v>
      </c>
    </row>
    <row r="28" spans="1:7" x14ac:dyDescent="0.25">
      <c r="A28" s="267">
        <v>84195</v>
      </c>
      <c r="B28" s="267" t="str">
        <f>VLOOKUP(A28,cennik!A:C,2,0)</f>
        <v>SEVROLL 01136 Smart alsó vezetés 2,35m ezüst</v>
      </c>
      <c r="C28" s="278"/>
      <c r="D28" s="273">
        <f>+VLOOKUP(A28,cennik!$A:$G,3,FALSE)</f>
        <v>2063.2394800000002</v>
      </c>
      <c r="E28" s="273">
        <f>D28*C28</f>
        <v>0</v>
      </c>
      <c r="F28" s="273">
        <f>+E28*(100-$F$2)/100</f>
        <v>0</v>
      </c>
      <c r="G28" s="267" t="str">
        <f>cennik!$B$2</f>
        <v>Ft</v>
      </c>
    </row>
    <row r="29" spans="1:7" x14ac:dyDescent="0.25">
      <c r="A29" s="267">
        <v>84198</v>
      </c>
      <c r="B29" s="267" t="str">
        <f>VLOOKUP(A29,cennik!A:C,2,0)</f>
        <v>SEVROLL 01137 Smart alsó vezetés 3m ezüst</v>
      </c>
      <c r="C29" s="278"/>
      <c r="D29" s="273">
        <f>+VLOOKUP(A29,cennik!$A:$G,3,FALSE)</f>
        <v>2614.1044200000001</v>
      </c>
      <c r="E29" s="273">
        <f>D29*C29</f>
        <v>0</v>
      </c>
      <c r="F29" s="273">
        <f>+E29*(100-$F$2)/100</f>
        <v>0</v>
      </c>
      <c r="G29" s="267" t="str">
        <f>cennik!$B$2</f>
        <v>Ft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 xml:space="preserve">Dekoratív ragasztó szalagok 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dísz profil S10 3m oliva</v>
      </c>
      <c r="C33" s="278"/>
      <c r="D33" s="273">
        <f>+VLOOKUP(A33,cennik!$A:$G,3,FALSE)</f>
        <v>1642.5792899999999</v>
      </c>
      <c r="E33" s="273">
        <f>D33*C33</f>
        <v>0</v>
      </c>
      <c r="F33" s="273">
        <f>+E33*(100-$F$2)/100</f>
        <v>0</v>
      </c>
      <c r="G33" s="267" t="str">
        <f>cennik!$B$2</f>
        <v>Ft</v>
      </c>
    </row>
    <row r="34" spans="1:7" x14ac:dyDescent="0.25">
      <c r="A34" s="267">
        <v>135156</v>
      </c>
      <c r="B34" s="267" t="str">
        <f>VLOOKUP(A34,cennik!A:C,2,0)</f>
        <v>SEVROLL 02306  dísz profil S10 3m ezüst</v>
      </c>
      <c r="C34" s="278"/>
      <c r="D34" s="273">
        <f>+VLOOKUP(A34,cennik!$A:$G,3,FALSE)</f>
        <v>1312.05999</v>
      </c>
      <c r="E34" s="273">
        <f>D34*C34</f>
        <v>0</v>
      </c>
      <c r="F34" s="273">
        <f>+E34*(100-$F$2)/100</f>
        <v>0</v>
      </c>
      <c r="G34" s="267" t="str">
        <f>cennik!$B$2</f>
        <v>Ft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dísz profil S20 3m oliva</v>
      </c>
      <c r="C36" s="278"/>
      <c r="D36" s="273">
        <f>+VLOOKUP(A36,cennik!$A:$G,3,FALSE)</f>
        <v>2934.6077500000001</v>
      </c>
      <c r="E36" s="273">
        <f>D36*C36</f>
        <v>0</v>
      </c>
      <c r="F36" s="273">
        <f>+E36*(100-$F$2)/100</f>
        <v>0</v>
      </c>
      <c r="G36" s="267" t="str">
        <f>cennik!$B$2</f>
        <v>Ft</v>
      </c>
    </row>
    <row r="37" spans="1:7" x14ac:dyDescent="0.25">
      <c r="A37" s="267">
        <v>134300</v>
      </c>
      <c r="B37" s="267" t="str">
        <f>VLOOKUP(A37,cennik!A:C,2,0)</f>
        <v>SEVROLL 02293 dísz profil S20 3m ezüst</v>
      </c>
      <c r="C37" s="278"/>
      <c r="D37" s="273">
        <f>+VLOOKUP(A37,cennik!$A:$G,3,FALSE)</f>
        <v>2393.7587699999999</v>
      </c>
      <c r="E37" s="273">
        <f>D37*C37</f>
        <v>0</v>
      </c>
      <c r="F37" s="273">
        <f>+E37*(100-$F$2)/100</f>
        <v>0</v>
      </c>
      <c r="G37" s="267" t="str">
        <f>cennik!$B$2</f>
        <v>Ft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VÉDŐ FÓLIA ÜVEG BETÉTRE</v>
      </c>
    </row>
    <row r="43" spans="1:7" x14ac:dyDescent="0.25">
      <c r="A43" s="267">
        <v>203857</v>
      </c>
      <c r="B43" s="267" t="str">
        <f>VLOOKUP(A43,cennik!A:C,2,0)</f>
        <v>ANB-biztonsági fólia 200mm/250m transzparens</v>
      </c>
      <c r="C43" s="278"/>
      <c r="D43" s="273" t="e">
        <f>+VLOOKUP(A43,cennik!$A:$G,3,FALSE)</f>
        <v>#N/A</v>
      </c>
      <c r="E43" s="273" t="e">
        <f>D43*C43</f>
        <v>#N/A</v>
      </c>
      <c r="F43" s="273" t="e">
        <f>+E43*(100-$F$2)/100</f>
        <v>#N/A</v>
      </c>
      <c r="G43" s="267" t="str">
        <f>cennik!$B$2</f>
        <v>Ft</v>
      </c>
    </row>
    <row r="44" spans="1:7" x14ac:dyDescent="0.25">
      <c r="A44" s="267">
        <v>203859</v>
      </c>
      <c r="B44" s="267" t="str">
        <f>VLOOKUP(A44,cennik!A:C,2,0)</f>
        <v>ANB-biztonsági fólia 250mm/250m transzparens</v>
      </c>
      <c r="C44" s="278"/>
      <c r="D44" s="273" t="e">
        <f>+VLOOKUP(A44,cennik!$A:$G,3,FALSE)</f>
        <v>#N/A</v>
      </c>
      <c r="E44" s="273" t="e">
        <f>D44*C44</f>
        <v>#N/A</v>
      </c>
      <c r="F44" s="273" t="e">
        <f>+E44*(100-$F$2)/100</f>
        <v>#N/A</v>
      </c>
      <c r="G44" s="267" t="str">
        <f>cennik!$B$2</f>
        <v>Ft</v>
      </c>
    </row>
    <row r="45" spans="1:7" x14ac:dyDescent="0.25">
      <c r="A45" s="267">
        <v>203860</v>
      </c>
      <c r="B45" s="267" t="str">
        <f>VLOOKUP(A45,cennik!A:C,2,0)</f>
        <v>ANB-biztonsági fólia 300mm/250m transzparens</v>
      </c>
      <c r="C45" s="278"/>
      <c r="D45" s="273" t="e">
        <f>+VLOOKUP(A45,cennik!$A:$G,3,FALSE)</f>
        <v>#N/A</v>
      </c>
      <c r="E45" s="273" t="e">
        <f>D45*C45</f>
        <v>#N/A</v>
      </c>
      <c r="F45" s="273" t="e">
        <f>+E45*(100-$F$2)/100</f>
        <v>#N/A</v>
      </c>
      <c r="G45" s="267" t="str">
        <f>cennik!$B$2</f>
        <v>Ft</v>
      </c>
    </row>
    <row r="46" spans="1:7" x14ac:dyDescent="0.25">
      <c r="A46" s="267">
        <v>203861</v>
      </c>
      <c r="B46" s="267" t="str">
        <f>VLOOKUP(A46,cennik!A:C,2,0)</f>
        <v>ANB-biztonsági fólia 400mm/250m transzparens</v>
      </c>
      <c r="C46" s="278">
        <v>1</v>
      </c>
      <c r="D46" s="273" t="e">
        <f>+VLOOKUP(A46,cennik!$A:$G,3,FALSE)</f>
        <v>#N/A</v>
      </c>
      <c r="E46" s="273" t="e">
        <f>D46*C46</f>
        <v>#N/A</v>
      </c>
      <c r="F46" s="273" t="e">
        <f>+E46*(100-$F$2)/100</f>
        <v>#N/A</v>
      </c>
      <c r="G46" s="267" t="str">
        <f>cennik!$B$2</f>
        <v>Ft</v>
      </c>
    </row>
    <row r="47" spans="1:7" x14ac:dyDescent="0.25">
      <c r="A47" s="267">
        <v>203862</v>
      </c>
      <c r="B47" s="267" t="str">
        <f>VLOOKUP(A47,cennik!A:C,2,0)</f>
        <v>ANB-biztonsági fólia 500mm/250m transzparens</v>
      </c>
      <c r="C47" s="278"/>
      <c r="D47" s="273" t="e">
        <f>+VLOOKUP(A47,cennik!$A:$G,3,FALSE)</f>
        <v>#N/A</v>
      </c>
      <c r="E47" s="273" t="e">
        <f>D47*C47</f>
        <v>#N/A</v>
      </c>
      <c r="F47" s="273" t="e">
        <f>+E47*(100-$F$2)/100</f>
        <v>#N/A</v>
      </c>
      <c r="G47" s="267" t="str">
        <f>cennik!$B$2</f>
        <v>Ft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Összesen áfával</v>
      </c>
      <c r="D59" s="274"/>
      <c r="E59" s="274"/>
      <c r="F59" s="277" t="e">
        <f>SUM(F4:F47)</f>
        <v>#N/A</v>
      </c>
    </row>
    <row r="60" spans="1:6" x14ac:dyDescent="0.25"/>
    <row r="61" spans="1:6" x14ac:dyDescent="0.25">
      <c r="A61" s="270" t="str">
        <f>texty!A216</f>
        <v>A PROFILOK LAKKOZÁSA</v>
      </c>
    </row>
    <row r="62" spans="1:6" x14ac:dyDescent="0.25">
      <c r="A62" s="720" t="str">
        <f>texty!A217</f>
        <v>bármilyen RAL színárnyalatra festhető</v>
      </c>
      <c r="B62" s="720"/>
    </row>
    <row r="63" spans="1:6" x14ac:dyDescent="0.25">
      <c r="A63" s="720" t="str">
        <f>texty!A218</f>
        <v> választható fényes/ matt (a megrendelésnél meg kell adni)</v>
      </c>
      <c r="B63" s="720"/>
    </row>
    <row r="64" spans="1:6" x14ac:dyDescent="0.25">
      <c r="A64" s="720" t="str">
        <f>texty!A219</f>
        <v>korlátozott hosszúság max. 3,85 m</v>
      </c>
      <c r="B64" s="720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Fogantyúk 2023 - minta</v>
      </c>
      <c r="C76" s="278"/>
      <c r="D76" s="273">
        <f>+VLOOKUP(A76,cennik!$A:$G,3,FALSE)</f>
        <v>9660.4210899999998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Összesen áfával</v>
      </c>
      <c r="D78" s="274"/>
      <c r="E78" s="274"/>
      <c r="F78" s="277" t="e">
        <f>F76+F59</f>
        <v>#N/A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Vevő, , VSZ: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2 740 mm /")</f>
        <v>magasság / max.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I3" s="22"/>
      <c r="L3" s="5"/>
    </row>
    <row r="4" spans="1:22" ht="24" customHeight="1" x14ac:dyDescent="0.25">
      <c r="A4" s="321" t="str">
        <f>texty!A70</f>
        <v>A SZEKRÉNY BELSŐ MÉRETE</v>
      </c>
      <c r="B4" s="351"/>
      <c r="C4" s="351"/>
      <c r="D4" s="352"/>
      <c r="E4" s="353"/>
      <c r="F4" s="353"/>
      <c r="G4" s="693"/>
      <c r="H4" s="693"/>
      <c r="I4" s="693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93"/>
      <c r="H6" s="693"/>
      <c r="I6" s="693"/>
      <c r="K6" s="173"/>
      <c r="L6" s="5"/>
      <c r="R6" s="684" t="s">
        <v>542</v>
      </c>
      <c r="S6" s="684" t="s">
        <v>543</v>
      </c>
      <c r="T6" s="684" t="s">
        <v>544</v>
      </c>
      <c r="U6" s="68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84"/>
      <c r="S7" s="684"/>
      <c r="T7" s="684"/>
      <c r="U7" s="68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86" t="s">
        <v>974</v>
      </c>
      <c r="L19" s="5"/>
    </row>
    <row r="20" spans="1:22" ht="19.5" customHeight="1" x14ac:dyDescent="0.25">
      <c r="A20" s="320"/>
      <c r="B20" s="596" t="str">
        <f>texty!A242</f>
        <v>hézak 4 mm</v>
      </c>
      <c r="C20" s="15"/>
      <c r="D20" s="19"/>
      <c r="E20" s="15"/>
      <c r="F20" s="15"/>
      <c r="G20" s="22"/>
      <c r="H20" s="22"/>
      <c r="I20" s="68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árengedmény: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Megrendelési kódok, árak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Alsó profil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Takaró profil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+VLOOKUP(B31,cennik!A3:G984,2,FALSE)</f>
        <v>SEVROLL 10202 felső görgő 10mm aszimmetrikus J+B</v>
      </c>
      <c r="D31" s="15">
        <f>IF((D50+D51)&gt;D4,0,D4-(D50+D51))</f>
        <v>0</v>
      </c>
      <c r="E31" s="86">
        <f>+VLOOKUP(B31,cennik!A:G,3,FALSE)</f>
        <v>2204.04898</v>
      </c>
      <c r="F31" s="86">
        <f t="shared" si="0"/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Alsó kocsi (szett)</v>
      </c>
      <c r="B32" s="15">
        <f>IF(F4=M68,328321,229441)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támfalas kefe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Ft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A keret fölső profilja (sín)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A keret vízszintes profilja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A keret vízszintes profilja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Választható tartozékok:</v>
      </c>
      <c r="B41" s="15"/>
      <c r="C41" s="19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Csavar az alsó sínre</v>
      </c>
      <c r="B49" s="15">
        <v>98019</v>
      </c>
      <c r="C49" s="23" t="str">
        <f>+VLOOKUP(B49,cennik!A:G,2,FALSE)</f>
        <v>SEVROLL 20041 csavar 2,5x18mm</v>
      </c>
      <c r="D49" s="278"/>
      <c r="E49" s="86">
        <f>+VLOOKUP(B49,cennik!A:G,3,FALSE)</f>
        <v>11.584149999999999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Ütközés tompító (pár) 25 kg</v>
      </c>
      <c r="B50" s="22">
        <v>227185</v>
      </c>
      <c r="C50" s="23" t="str">
        <f>+VLOOKUP(B50,cennik!A:G,2,FALSE)</f>
        <v>K-SEVROLL ütközés csillapító 10/18mm 14-25kg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Ütközés tompító (pár) 50 kg</v>
      </c>
      <c r="B51" s="22">
        <v>227187</v>
      </c>
      <c r="C51" s="23" t="str">
        <f>+VLOOKUP(B51,cennik!A:G,2,FALSE)</f>
        <v>K-SEVROLL ütközés csillapító 10/18mm 25-50kg J+B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Ft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Összekötő profil H10-3méter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Összekötő profil H30-3méter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Ft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Összekötő csavar</v>
      </c>
      <c r="B54" s="15">
        <v>89244</v>
      </c>
      <c r="C54" s="23" t="str">
        <f>+VLOOKUP(B54,cennik!A:G,2,FALSE)</f>
        <v>SEVROLL20001  csavar 6,3x32 SEVROLL a Simple</v>
      </c>
      <c r="D54" s="354"/>
      <c r="E54" s="86">
        <f>+VLOOKUP(B54,cennik!A:G,3,FALSE)</f>
        <v>61.50817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porfogó kefe</v>
      </c>
      <c r="B55" s="15">
        <v>95946</v>
      </c>
      <c r="C55" s="23" t="str">
        <f>+VLOOKUP(B55,cennik!A:G,2,FALSE)</f>
        <v>SEVROLL porfogó kefe becsúsztatható 4,8x13mm</v>
      </c>
      <c r="D55" s="354"/>
      <c r="E55" s="86">
        <f>+VLOOKUP(B55,cennik!A:G,3,FALSE)</f>
        <v>90.9</v>
      </c>
      <c r="F55" s="86">
        <f>+E55*D55</f>
        <v>0</v>
      </c>
      <c r="G55" s="87">
        <f>+F55*(100-G26)/100</f>
        <v>0</v>
      </c>
      <c r="H55" s="22" t="str">
        <f>cennik!B2</f>
        <v>Ft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tolóajtó zár</v>
      </c>
      <c r="B56" s="15">
        <v>216363</v>
      </c>
      <c r="C56" s="23" t="str">
        <f>+VLOOKUP(B56,cennik!A:G,2,FALSE)</f>
        <v>SEVROLL 20356 tolóajtó zár 10/18mm</v>
      </c>
      <c r="D56" s="354"/>
      <c r="E56" s="86">
        <f>+VLOOKUP(B56,cennik!A:G,3,FALSE)</f>
        <v>6243.0970299999999</v>
      </c>
      <c r="F56" s="86">
        <f>+E56*D56</f>
        <v>0</v>
      </c>
      <c r="G56" s="87">
        <f>+F56*(100-G26)/100</f>
        <v>0</v>
      </c>
      <c r="H56" s="22" t="str">
        <f>cennik!B2</f>
        <v>Ft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 xml:space="preserve"> A szükséges tömítés hossza a teljes beüvegezésnél (teljes métereket kell rendelni)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(abban az esetben ha H profilt használ hozzá kell számítani a szükséges hosszúságot-a tömítésnek az üveg teljes körvonalán kell lennie)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tömítés üvegre 4mm</v>
      </c>
      <c r="B61" s="15">
        <v>89238</v>
      </c>
      <c r="C61" s="23" t="str">
        <f>+VLOOKUP(B61,cennik!A:G,2,FALSE)</f>
        <v>SEVROLL20031  tömítés üvegre 10/4mm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tömítés üvegre 4,5 mm</v>
      </c>
      <c r="B62" s="15">
        <v>135164</v>
      </c>
      <c r="C62" s="23" t="str">
        <f>+VLOOKUP(B62,cennik!A:G,2,FALSE)</f>
        <v>SEVROLL 20032-SV tömítés üvegre 10/4,5mm</v>
      </c>
      <c r="D62" s="355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tömítés üvegre 6mm</v>
      </c>
      <c r="B63" s="15">
        <v>89243</v>
      </c>
      <c r="C63" s="23" t="str">
        <f>+VLOOKUP(B63,cennik!A:G,2,FALSE)</f>
        <v>SEVROLL 20033-SV  tömítés üvegre 10/6mm</v>
      </c>
      <c r="D63" s="355"/>
      <c r="E63" s="86">
        <f>+VLOOKUP(B63,cennik!A:G,3,FALSE)</f>
        <v>317.79295000000002</v>
      </c>
      <c r="F63" s="91">
        <f>+CEILING(D63,1)*E63</f>
        <v>0</v>
      </c>
      <c r="G63" s="87">
        <f>+F63*(100-G26)/100</f>
        <v>0</v>
      </c>
      <c r="H63" s="22" t="str">
        <f>cennik!B2</f>
        <v>Ft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További tartozékok tolóajtó rendszerekhez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Ennek a rendszernek műszaki rajza</v>
      </c>
      <c r="B65" s="470">
        <v>129677</v>
      </c>
      <c r="C65" s="348" t="str">
        <f>VLOOKUP(B65,cennik!A:C,2,0)</f>
        <v>SEVROLL 20173 szerelő eszköz 10 mm-es rétegelt lemezre kicsi</v>
      </c>
      <c r="D65" s="355"/>
      <c r="E65" s="86">
        <f>+VLOOKUP(B65,cennik!A:G,3,FALSE)</f>
        <v>4493.0024999999996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fúró fokozatos 6,5/9,5mm</v>
      </c>
      <c r="D66" s="355"/>
      <c r="E66" s="86">
        <f>+VLOOKUP(B66,cennik!A:G,3,FALSE)</f>
        <v>10898.66318</v>
      </c>
      <c r="F66" s="91">
        <f>+CEILING(D66,1)*E66</f>
        <v>0</v>
      </c>
      <c r="G66" s="87">
        <f>+F66</f>
        <v>0</v>
      </c>
      <c r="H66" s="22" t="str">
        <f>cennik!B2</f>
        <v>Ft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85" t="str">
        <f>IF(SUM(D50:D51)&gt;0,IF(C7&lt;(B4/3),texty!A212,""),"")</f>
        <v/>
      </c>
      <c r="B67" s="685"/>
      <c r="C67" s="685"/>
      <c r="D67" s="685"/>
      <c r="E67" s="685"/>
      <c r="F67" s="685"/>
      <c r="G67" s="685"/>
      <c r="H67" s="685"/>
      <c r="I67" s="68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Összesen áfával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Ft</v>
      </c>
      <c r="I68" s="22"/>
      <c r="J68" s="166"/>
      <c r="K68" s="166">
        <v>68</v>
      </c>
      <c r="L68" s="4" t="str">
        <f>data!J4</f>
        <v>ezüst</v>
      </c>
      <c r="M68" s="19" t="s">
        <v>968</v>
      </c>
    </row>
    <row r="69" spans="1:14" ht="12.75" customHeight="1" x14ac:dyDescent="0.25">
      <c r="A69" s="337" t="str">
        <f>System10!A67</f>
        <v>Az Ön megjegyzése:</v>
      </c>
      <c r="B69" s="690"/>
      <c r="C69" s="691"/>
      <c r="D69" s="691"/>
      <c r="E69" s="691"/>
      <c r="F69" s="691"/>
      <c r="G69" s="692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9" t="str">
        <f>profil!U15</f>
        <v/>
      </c>
      <c r="B70" s="679"/>
      <c r="C70" s="679"/>
      <c r="D70" s="679"/>
      <c r="E70" s="679"/>
      <c r="F70" s="679"/>
      <c r="G70" s="679"/>
      <c r="H70" s="679"/>
      <c r="I70" s="22"/>
      <c r="L70" s="4" t="str">
        <f>data!J15</f>
        <v>fehér fényes</v>
      </c>
      <c r="M70" s="19"/>
    </row>
    <row r="71" spans="1:14" ht="12.75" customHeight="1" x14ac:dyDescent="0.25">
      <c r="A71" s="680" t="str">
        <f>IF(N71=1,texty!A215,IF(K71&gt;0,texty!A214,""))</f>
        <v>egyes tételek nem a kiválasztott hosszúságban készülnek</v>
      </c>
      <c r="B71" s="680"/>
      <c r="C71" s="680"/>
      <c r="D71" s="680"/>
      <c r="E71" s="680"/>
      <c r="F71" s="680"/>
      <c r="G71" s="680"/>
      <c r="H71" s="680"/>
      <c r="I71" s="22"/>
      <c r="K71" s="5" t="e">
        <f>SUM(K28:K66)</f>
        <v>#N/A</v>
      </c>
      <c r="L71" s="4" t="str">
        <f>data!J17</f>
        <v>matt feket</v>
      </c>
      <c r="N71" s="4">
        <f>IF(ISERROR(K71),1,0)</f>
        <v>1</v>
      </c>
    </row>
    <row r="73" spans="1:14" ht="12.75" hidden="1" customHeight="1" x14ac:dyDescent="0.25">
      <c r="L73" s="4" t="str">
        <f>data!J9</f>
        <v>szálcsi.fekete</v>
      </c>
    </row>
    <row r="74" spans="1:14" ht="12.75" hidden="1" customHeight="1" x14ac:dyDescent="0.25">
      <c r="L74" s="4" t="str">
        <f>data!J15</f>
        <v>fehér fényes</v>
      </c>
    </row>
    <row r="75" spans="1:14" ht="12.75" hidden="1" customHeight="1" x14ac:dyDescent="0.25">
      <c r="L75" s="4" t="str">
        <f>data!J16</f>
        <v>fényes fekete</v>
      </c>
    </row>
    <row r="76" spans="1:14" ht="12.75" hidden="1" customHeight="1" x14ac:dyDescent="0.25">
      <c r="L76" s="4" t="str">
        <f>data!J17</f>
        <v>matt feket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93"/>
      <c r="H4" s="693"/>
      <c r="I4" s="69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hézak 4 mm</v>
      </c>
      <c r="C19" s="113"/>
      <c r="D19" s="15"/>
      <c r="E19" s="15"/>
      <c r="F19" s="15"/>
      <c r="G19" s="22"/>
      <c r="H19" s="22"/>
      <c r="I19" s="68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8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Alsó profil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Takaró profil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A keret fölső profilja (sín)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A keret vízszintes profilja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A keret vízszintes profilja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Összekötő profil H30-3méter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További tartozékok tolóajtó rendszerekhez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348" t="str">
        <f>VLOOKUP(B63,cennik!A:C,2,0)</f>
        <v>SEVROLL 20173 szerelő eszköz 10 mm-es rétegelt lemezre kicsi</v>
      </c>
      <c r="D63" s="355"/>
      <c r="E63" s="86">
        <f>+VLOOKUP(B63,cennik!A:G,3,FALSE)</f>
        <v>4493.0024999999996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5">
      <c r="A67" s="337" t="str">
        <f>System10!A67</f>
        <v>Az Ön megjegyzése:</v>
      </c>
      <c r="B67" s="690"/>
      <c r="C67" s="691"/>
      <c r="D67" s="691"/>
      <c r="E67" s="691"/>
      <c r="F67" s="691"/>
      <c r="G67" s="692"/>
      <c r="H67" s="21"/>
      <c r="L67" s="22"/>
    </row>
    <row r="68" spans="1:14" ht="12.75" customHeight="1" x14ac:dyDescent="0.25">
      <c r="A68" s="689" t="str">
        <f>profil!U15</f>
        <v/>
      </c>
      <c r="B68" s="679"/>
      <c r="C68" s="679"/>
      <c r="D68" s="679"/>
      <c r="E68" s="679"/>
      <c r="F68" s="679"/>
      <c r="G68" s="679"/>
      <c r="H68" s="679"/>
      <c r="L68" s="22"/>
    </row>
    <row r="69" spans="1:14" ht="12.75" customHeight="1" x14ac:dyDescent="0.25">
      <c r="A69" s="680" t="str">
        <f>IF(N73=1,texty!A215,IF(K73&gt;0,texty!A214,""))</f>
        <v>egyes tételek nem a kiválasztott hosszúságban készülnek</v>
      </c>
      <c r="B69" s="680"/>
      <c r="C69" s="680"/>
      <c r="D69" s="680"/>
      <c r="E69" s="680"/>
      <c r="F69" s="680"/>
      <c r="G69" s="680"/>
      <c r="H69" s="680"/>
      <c r="K69" s="363"/>
    </row>
    <row r="70" spans="1:14" ht="12.75" hidden="1" customHeight="1" x14ac:dyDescent="0.25">
      <c r="I70" s="19"/>
      <c r="J70" s="19"/>
      <c r="L70" s="19" t="str">
        <f>texty!A128</f>
        <v>ezüst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2024 Bútorvasalat katalógus  old. 7.23</v>
      </c>
      <c r="B3" s="318" t="str">
        <f>CONCATENATE(texty!A34," / max.          2 740 mm /")</f>
        <v>magasság / max.          2 740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93"/>
      <c r="H4" s="693"/>
      <c r="I4" s="69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86" t="s">
        <v>974</v>
      </c>
      <c r="L19" s="22"/>
    </row>
    <row r="20" spans="1:22" ht="16.5" customHeight="1" x14ac:dyDescent="0.25">
      <c r="A20" s="320"/>
      <c r="B20" s="596" t="str">
        <f>texty!A242</f>
        <v>hézak 4 mm</v>
      </c>
      <c r="C20" s="15"/>
      <c r="E20" s="15"/>
      <c r="F20" s="15"/>
      <c r="G20" s="22"/>
      <c r="H20" s="22"/>
      <c r="I20" s="68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megnevezés</v>
      </c>
      <c r="D27" s="17" t="str">
        <f>+System10!D27</f>
        <v>db</v>
      </c>
      <c r="E27" s="17" t="str">
        <f>+System10!E27</f>
        <v>db ár</v>
      </c>
      <c r="F27" s="17" t="str">
        <f>+System10!F27</f>
        <v>ár összesen</v>
      </c>
      <c r="G27" s="18" t="str">
        <f>+System10!G27</f>
        <v>összesen nettó</v>
      </c>
      <c r="H27" s="22"/>
      <c r="I27" s="18" t="str">
        <f>texty!A29</f>
        <v>Megjegyzés: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Felső profil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Alsó profil</v>
      </c>
      <c r="B29" s="15" t="str">
        <f>IFERROR((VLOOKUP(M5,data!C4:D88,2,0)),"N/A")</f>
        <v>N/A</v>
      </c>
      <c r="C29" s="23" t="str">
        <f>IF(B29=data!D64,texty!A239,+VLOOKUP(B29,cennik!A3:G9999,2,FALSE))</f>
        <v>ebben a színben és méretben az adott profilt nem gyártjuk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Takaró profil</v>
      </c>
      <c r="B30" s="15" t="str">
        <f>IFERROR((VLOOKUP(M5,data!C115:D210,2,0)),"N/A")</f>
        <v>N/A</v>
      </c>
      <c r="C30" s="23" t="str">
        <f>IF(B30=data!D64,texty!A239,+VLOOKUP(B30,cennik!A3:G9999,2,FALSE))</f>
        <v>ebben a színben és méretben az adott profilt nem gyártjuk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Felső kocsi (szett)</v>
      </c>
      <c r="B31" s="15">
        <v>228009</v>
      </c>
      <c r="C31" s="23" t="str">
        <f>+VLOOKUP(B31,cennik!A:G,2,FALSE)</f>
        <v>SEVROLL 10204 felső görgő Gemini szimmetrikus 10mm - 2db</v>
      </c>
      <c r="D31" s="15">
        <f>IF((D49+D50)&gt;D4,0,D4-(D49+D50))</f>
        <v>0</v>
      </c>
      <c r="E31" s="86">
        <f>+VLOOKUP(B31,cennik!A:G,3,FALSE)</f>
        <v>2040.0269000000001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Alsó kocsi (szett)</v>
      </c>
      <c r="B32" s="15">
        <f>IF(F4=M70,328321,229441)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Összekötő csavar</v>
      </c>
      <c r="B35" s="22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A keret fölső profilja (sín)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A keret vízszintes profilja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A keret vízszintes profilja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Választható tartozékok:</v>
      </c>
      <c r="B41" s="15"/>
      <c r="D41" s="343" t="str">
        <f>+System10!D41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Összekötő profil H10-3méter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Összekötő profil H30-3méter</v>
      </c>
      <c r="B52" s="15" t="str">
        <f>IFERROR((VLOOKUP(P7,data!C508:D515,2,0)),"N/A")</f>
        <v>N/A</v>
      </c>
      <c r="C52" s="23" t="str">
        <f>IF(B52=data!D64,texty!A239,+VLOOKUP(B52,cennik!A3:G9999,2,FALSE))</f>
        <v>ebben a színben és méretben az adott profilt nem gyártjuk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tolóajtó zár</v>
      </c>
      <c r="B54" s="15">
        <v>216363</v>
      </c>
      <c r="C54" s="23" t="str">
        <f>+VLOOKUP(B54,cennik!A:G,2,FALSE)</f>
        <v>SEVROLL 20356 tolóajtó zár 10/18mm</v>
      </c>
      <c r="D54" s="354"/>
      <c r="E54" s="86">
        <f>+VLOOKUP(B54,cennik!A:G,3,FALSE)</f>
        <v>6243.0970299999999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 xml:space="preserve"> A szükséges tömítés hossza a teljes beüvegezésnél (teljes métereket kell rendelni)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(abban az esetben ha H profilt használ hozzá kell számítani a szükséges hosszúságot-a tömítésnek az üveg teljes körvonalán kell lennie)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tömítés üvegre 4mm</v>
      </c>
      <c r="B59" s="15">
        <v>89238</v>
      </c>
      <c r="C59" s="23" t="str">
        <f>+VLOOKUP(B59,cennik!A:G,2,FALSE)</f>
        <v>SEVROLL20031  tömítés üvegre 10/4mm</v>
      </c>
      <c r="D59" s="355"/>
      <c r="E59" s="86">
        <f>+VLOOKUP(B59,cennik!A:G,3,FALSE)</f>
        <v>317.79295000000002</v>
      </c>
      <c r="F59" s="91">
        <f>+CEILING(D59,1)*E59</f>
        <v>0</v>
      </c>
      <c r="G59" s="87">
        <f>+F59*(100-G26)/100</f>
        <v>0</v>
      </c>
      <c r="H59" s="22" t="str">
        <f>cennik!B2</f>
        <v>Ft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tömítés üvegre 4,5 mm</v>
      </c>
      <c r="B60" s="15">
        <v>135164</v>
      </c>
      <c r="C60" s="23" t="str">
        <f>+VLOOKUP(B60,cennik!A:G,2,FALSE)</f>
        <v>SEVROLL 20032-SV tömítés üvegre 10/4,5mm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tömítés üvegre 6mm</v>
      </c>
      <c r="B61" s="15">
        <v>89243</v>
      </c>
      <c r="C61" s="23" t="str">
        <f>+VLOOKUP(B61,cennik!A:G,2,FALSE)</f>
        <v>SEVROLL 20033-SV  tömítés üvegre 10/6mm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További tartozékok tolóajtó rendszerekhez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Ennek a rendszernek műszaki rajza</v>
      </c>
      <c r="B63" s="15">
        <v>129677</v>
      </c>
      <c r="C63" s="468" t="str">
        <f>VLOOKUP(B63,cennik!A:C,2,0)</f>
        <v>SEVROLL 20173 szerelő eszköz 10 mm-es rétegelt lemezre kicsi</v>
      </c>
      <c r="D63" s="355"/>
      <c r="E63" s="86">
        <f>+VLOOKUP(B63,cennik!A:G,3,FALSE)</f>
        <v>4493.0024999999996</v>
      </c>
      <c r="F63" s="91">
        <f>+CEILING(D63,1)*E63</f>
        <v>0</v>
      </c>
      <c r="G63" s="87">
        <f>+F63</f>
        <v>0</v>
      </c>
      <c r="H63" s="22" t="str">
        <f>cennik!B2</f>
        <v>Ft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fúró fokozatos 6,5/9,5mm</v>
      </c>
      <c r="D64" s="355"/>
      <c r="E64" s="86">
        <f>+VLOOKUP(B64,cennik!A:G,3,FALSE)</f>
        <v>10898.66318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Összesen áfával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Ft</v>
      </c>
      <c r="I66" s="19"/>
      <c r="L66" s="22"/>
    </row>
    <row r="67" spans="1:14" ht="12.75" customHeight="1" x14ac:dyDescent="0.25">
      <c r="A67" s="337" t="str">
        <f>System10!A67</f>
        <v>Az Ön megjegyzése:</v>
      </c>
      <c r="B67" s="690"/>
      <c r="C67" s="691"/>
      <c r="D67" s="691"/>
      <c r="E67" s="691"/>
      <c r="F67" s="691"/>
      <c r="G67" s="692"/>
      <c r="H67" s="21"/>
      <c r="L67" s="22"/>
    </row>
    <row r="68" spans="1:14" ht="12.75" customHeight="1" x14ac:dyDescent="0.25">
      <c r="A68" s="689" t="str">
        <f>profil!U15</f>
        <v/>
      </c>
      <c r="B68" s="679"/>
      <c r="C68" s="679"/>
      <c r="D68" s="679"/>
      <c r="E68" s="679"/>
      <c r="F68" s="679"/>
      <c r="G68" s="679"/>
      <c r="H68" s="679"/>
      <c r="L68" s="22"/>
    </row>
    <row r="69" spans="1:14" ht="12.75" customHeight="1" x14ac:dyDescent="0.25">
      <c r="A69" s="680" t="str">
        <f>IF(N73=1,texty!A215,IF(K73&gt;0,texty!A214,""))</f>
        <v>egyes tételek nem a kiválasztott hosszúságban készülnek</v>
      </c>
      <c r="B69" s="680"/>
      <c r="C69" s="680"/>
      <c r="D69" s="680"/>
      <c r="E69" s="680"/>
      <c r="F69" s="680"/>
      <c r="G69" s="680"/>
      <c r="H69" s="680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ezüst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arany/sárgaréz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matt feket</v>
      </c>
      <c r="N73" s="19">
        <f>IF(ISERROR(K73),1,0)</f>
        <v>1</v>
      </c>
    </row>
    <row r="74" spans="1:14" ht="12.75" hidden="1" customHeight="1" x14ac:dyDescent="0.25">
      <c r="L74" s="19" t="str">
        <f>data!J22</f>
        <v>fekete szerkezeti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Vevő, , VSZ: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2024 Bútorvasalat katalógus  old. 7.24</v>
      </c>
      <c r="B3" s="318" t="str">
        <f>CONCATENATE(texty!A34," / max.         3 040 mm /")</f>
        <v>magasság / max.         3 040 mm /</v>
      </c>
      <c r="C3" s="319" t="str">
        <f>CONCATENATE(texty!A35," / max 6 000 mm /")</f>
        <v>szélesség / max 6 000 mm /</v>
      </c>
      <c r="D3" s="318" t="str">
        <f>texty!A36</f>
        <v>az ajtók száma</v>
      </c>
      <c r="E3" s="319" t="str">
        <f>texty!A37</f>
        <v>szín</v>
      </c>
      <c r="F3" s="318" t="str">
        <f>texty!A38</f>
        <v>alsó vezetés típusa</v>
      </c>
      <c r="G3" s="22"/>
      <c r="H3" s="22"/>
      <c r="L3" s="22"/>
    </row>
    <row r="4" spans="1:22" ht="18" customHeight="1" x14ac:dyDescent="0.25">
      <c r="A4" s="321" t="str">
        <f>texty!A70</f>
        <v>A SZEKRÉNY BELSŐ MÉRETE</v>
      </c>
      <c r="B4" s="351"/>
      <c r="C4" s="351"/>
      <c r="D4" s="352"/>
      <c r="E4" s="352"/>
      <c r="F4" s="353"/>
      <c r="G4" s="693"/>
      <c r="H4" s="693"/>
      <c r="I4" s="693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8" t="str">
        <f>texty!A45</f>
        <v>töltsék ki ezt az 5 sort !!! Adatok mm-ben</v>
      </c>
      <c r="C5" s="688"/>
      <c r="D5" s="688"/>
      <c r="E5" s="688"/>
      <c r="F5" s="688"/>
      <c r="G5" s="693"/>
      <c r="H5" s="693"/>
      <c r="I5" s="693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93"/>
      <c r="H6" s="693"/>
      <c r="I6" s="693"/>
      <c r="K6" s="356"/>
      <c r="L6" s="22"/>
      <c r="R6" s="694" t="s">
        <v>542</v>
      </c>
      <c r="S6" s="694" t="s">
        <v>543</v>
      </c>
      <c r="T6" s="694" t="s">
        <v>544</v>
      </c>
      <c r="U6" s="694" t="s">
        <v>545</v>
      </c>
    </row>
    <row r="7" spans="1:22" ht="12.75" customHeight="1" x14ac:dyDescent="0.25">
      <c r="A7" s="321" t="str">
        <f>texty!A71</f>
        <v>ajtó szárny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Abban az esetben, ha betét üveg ,</v>
      </c>
      <c r="H7" s="22"/>
      <c r="L7" s="22"/>
      <c r="O7" s="15" t="e">
        <f>IF(L11="jiné",M12,L11)</f>
        <v>#VALUE!</v>
      </c>
      <c r="P7" s="19">
        <f>+E4</f>
        <v>0</v>
      </c>
      <c r="R7" s="694"/>
      <c r="S7" s="694"/>
      <c r="T7" s="694"/>
      <c r="U7" s="694"/>
    </row>
    <row r="8" spans="1:22" ht="12.75" customHeight="1" x14ac:dyDescent="0.25">
      <c r="A8" s="321" t="str">
        <f>texty!A72</f>
        <v>a betét mérete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 biztonsági üveget kell használni,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a tükör/üveg mérete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vagy az üveget bebiztosítani védő fóliával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a vezető és takaró profil mérete 1 szárnyra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alsó/felső profil</v>
      </c>
      <c r="B11" s="53"/>
      <c r="C11" s="172" t="str">
        <f>TRIM(C4)</f>
        <v/>
      </c>
      <c r="D11" s="15"/>
      <c r="E11" s="15"/>
      <c r="F11" s="15"/>
      <c r="G11" s="21" t="str">
        <f>texty!A43</f>
        <v>Az ajtószárny maximális súlya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fogantyú profil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a tömítés hossza üvegre egy szárnyra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3" t="str">
        <f>IF(SUM(D47:D48)&gt;0,texty!A245,"")</f>
        <v/>
      </c>
      <c r="B14" s="683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3"/>
      <c r="B15" s="683"/>
      <c r="C15" s="599" t="str">
        <f>texty!A78</f>
        <v>Utólagos levonás a kiszámított magasságból  a betéteknél az elválasztó profilok használatakor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hézak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8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8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árengedmény: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Megrendelési kódok, árak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megnevezés</v>
      </c>
      <c r="D27" s="17" t="str">
        <f>texty!A17</f>
        <v>db</v>
      </c>
      <c r="E27" s="17" t="str">
        <f>texty!A18</f>
        <v>db ár</v>
      </c>
      <c r="F27" s="17" t="str">
        <f>texty!A19</f>
        <v>ár összesen</v>
      </c>
      <c r="G27" s="18" t="str">
        <f>texty!A20</f>
        <v>összesen nettó</v>
      </c>
      <c r="H27" s="22"/>
      <c r="I27" s="18" t="str">
        <f>texty!A29</f>
        <v>Megjegyzés: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Felső profil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Ft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Alsó profil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Ft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Takaró profil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Ft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Felső kocsi (szett)</v>
      </c>
      <c r="B31" s="15">
        <v>89265</v>
      </c>
      <c r="C31" s="23" t="str">
        <f>+VLOOKUP(B31,cennik!A:G,2,FALSE)</f>
        <v>SEVROLL 10202 felső görgő 10mm aszimmetrikus J+B</v>
      </c>
      <c r="D31" s="15">
        <f>IF((D49+D50)&gt;D4,0,D4-(D49+D50))</f>
        <v>0</v>
      </c>
      <c r="E31" s="86">
        <f>+VLOOKUP(B31,cennik!A:G,3,FALSE)</f>
        <v>2204.04898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Ft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Alsó kocsi (szett)</v>
      </c>
      <c r="B32" s="15">
        <f>IF(F4=M66,328321,229441)</f>
        <v>229441</v>
      </c>
      <c r="C32" s="23" t="str">
        <f>+VLOOKUP(B32,cennik!A:G,2,FALSE)</f>
        <v>SEVROLL 10200 alsó görgő WD 10C HI-TEC - 2db</v>
      </c>
      <c r="D32" s="15">
        <f>+D4</f>
        <v>0</v>
      </c>
      <c r="E32" s="86">
        <f>+VLOOKUP(B32,cennik!A:G,3,FALSE)</f>
        <v>2624.35581</v>
      </c>
      <c r="F32" s="86">
        <f t="shared" si="0"/>
        <v>0</v>
      </c>
      <c r="G32" s="87">
        <f>+F32*(100-G26)/100</f>
        <v>0</v>
      </c>
      <c r="H32" s="22" t="str">
        <f>cennik!B2</f>
        <v>Ft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támfalas kefe</v>
      </c>
      <c r="B33" s="15">
        <v>98067</v>
      </c>
      <c r="C33" s="23" t="str">
        <f>+VLOOKUP(B33,cennik!A:G,2,FALSE)</f>
        <v>SEVROLL támfalas kefe becsúsztatható 14x4mm szürke</v>
      </c>
      <c r="D33" s="15">
        <f>CEILING((B4*D4*2/1000),1)</f>
        <v>0</v>
      </c>
      <c r="E33" s="86">
        <f>+VLOOKUP(B33,cennik!A:G,3,FALSE)</f>
        <v>97.2</v>
      </c>
      <c r="F33" s="86">
        <f t="shared" si="0"/>
        <v>0</v>
      </c>
      <c r="G33" s="87">
        <f>+F33*(100-G26)/100</f>
        <v>0</v>
      </c>
      <c r="H33" s="22" t="str">
        <f>cennik!B2</f>
        <v>Ft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Fogantyú profil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Ft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Összekötő csavar</v>
      </c>
      <c r="B35" s="15">
        <v>89244</v>
      </c>
      <c r="C35" s="23" t="str">
        <f>+VLOOKUP(B35,cennik!A:G,2,FALSE)</f>
        <v>SEVROLL20001  csavar 6,3x32 SEVROLL a Simple</v>
      </c>
      <c r="D35" s="15">
        <f>+D4*4</f>
        <v>0</v>
      </c>
      <c r="E35" s="86">
        <f>+VLOOKUP(B35,cennik!A:G,3,FALSE)</f>
        <v>61.50817</v>
      </c>
      <c r="F35" s="86">
        <f t="shared" si="0"/>
        <v>0</v>
      </c>
      <c r="G35" s="87">
        <f>+F35*(100-G26)/100</f>
        <v>0</v>
      </c>
      <c r="H35" s="22" t="str">
        <f>cennik!B2</f>
        <v>Ft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A keret fölső profilja (sín)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Ft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A keret fölső profilja (sín)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Ft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A keret vízszintes profilja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Ft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A keret vízszintes profilja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Ft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Választható tartozékok:</v>
      </c>
      <c r="B41" s="15"/>
      <c r="D41" s="343" t="str">
        <f>System10!D41</f>
        <v>adja be a db számot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Finomállító felső vezetéshez</v>
      </c>
      <c r="B42" s="15">
        <v>298035</v>
      </c>
      <c r="C42" s="23" t="str">
        <f>+VLOOKUP(B42,cennik!A:G,2,FALSE)</f>
        <v>SEVROLL 20326 Fix Fix finomállító felső görgő-höz transzparens</v>
      </c>
      <c r="D42" s="278"/>
      <c r="E42" s="86">
        <f>+VLOOKUP(B42,cennik!A:G,3,FALSE)</f>
        <v>481.81545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Ft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Finomállító</v>
      </c>
      <c r="B43" s="15">
        <f>IF(F4="Gemini",387424,89063)</f>
        <v>89063</v>
      </c>
      <c r="C43" s="23" t="str">
        <f>+VLOOKUP(B43,cennik!A:G,2,FALSE)</f>
        <v>SEVROLL 20080 finomállító HI-TEC alsó görgőhöz</v>
      </c>
      <c r="D43" s="278"/>
      <c r="E43" s="86">
        <f>+VLOOKUP(B43,cennik!A:G,3,FALSE)</f>
        <v>123.01676</v>
      </c>
      <c r="F43" s="91">
        <f t="shared" si="1"/>
        <v>0</v>
      </c>
      <c r="G43" s="87">
        <f>+F43*(100-G26)/100</f>
        <v>0</v>
      </c>
      <c r="H43" s="22" t="str">
        <f>cennik!B2</f>
        <v>Ft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ütközés csillapító MINI 25 kg-ig (pár)</v>
      </c>
      <c r="B44" s="15">
        <v>318662</v>
      </c>
      <c r="C44" s="23" t="str">
        <f>+VLOOKUP(B44,cennik!A:G,2,FALSE)</f>
        <v>SEVROLL 20368-SV ütközés csillapító Mini SV25 (14-25kg)</v>
      </c>
      <c r="D44" s="278"/>
      <c r="E44" s="86">
        <f>+VLOOKUP(B44,cennik!A:G,3,FALSE)</f>
        <v>9041.7265599999992</v>
      </c>
      <c r="F44" s="91">
        <f t="shared" si="1"/>
        <v>0</v>
      </c>
      <c r="G44" s="87">
        <f>+F44*(100-G26)/100</f>
        <v>0</v>
      </c>
      <c r="H44" s="22" t="str">
        <f>cennik!B2</f>
        <v>Ft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ütközés csillapító MINI 40 kg-ig (pár)</v>
      </c>
      <c r="B45" s="22">
        <v>283956</v>
      </c>
      <c r="C45" s="23" t="str">
        <f>+VLOOKUP(B45,cennik!A:G,2,FALSE)</f>
        <v>SEVROLL 20258-SV ütközés csillapító  Mini SV40 (25 - 40kg)</v>
      </c>
      <c r="D45" s="278"/>
      <c r="E45" s="86">
        <f>+VLOOKUP(B45,cennik!A:G,3,FALSE)</f>
        <v>9041.7265599999992</v>
      </c>
      <c r="F45" s="91">
        <f t="shared" si="1"/>
        <v>0</v>
      </c>
      <c r="G45" s="87">
        <f>+F45*(100-G26)/100</f>
        <v>0</v>
      </c>
      <c r="H45" s="22" t="str">
        <f>cennik!B2</f>
        <v>Ft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ütközés csillapító MINI 60 kg-ig (pár)</v>
      </c>
      <c r="B46" s="22">
        <v>351743</v>
      </c>
      <c r="C46" s="23" t="str">
        <f>+VLOOKUP(B46,cennik!A:G,2,FALSE)</f>
        <v>SEVROLL 20339-SV ütközés csillapító Mini SV60 (40 - 60kg)</v>
      </c>
      <c r="D46" s="278"/>
      <c r="E46" s="86">
        <f>+VLOOKUP(B46,cennik!A:G,3,FALSE)</f>
        <v>9041.7265599999992</v>
      </c>
      <c r="F46" s="91">
        <f t="shared" si="1"/>
        <v>0</v>
      </c>
      <c r="G46" s="87">
        <f>+F46*(100-G26)/100</f>
        <v>0</v>
      </c>
      <c r="H46" s="22" t="str">
        <f>cennik!B2</f>
        <v>Ft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csillapító a középső szárnyra 25 kg-ig</v>
      </c>
      <c r="B47" s="22">
        <v>318663</v>
      </c>
      <c r="C47" s="23" t="str">
        <f>+VLOOKUP(B47,cennik!A:G,2,FALSE)</f>
        <v>SEVROLL 20363-SV csillapító Central 10/18mm kétoldalú 25kg</v>
      </c>
      <c r="D47" s="278"/>
      <c r="E47" s="86">
        <f>+VLOOKUP(B47,cennik!A:G,3,FALSE)</f>
        <v>19364.876939999998</v>
      </c>
      <c r="F47" s="91">
        <f t="shared" si="1"/>
        <v>0</v>
      </c>
      <c r="G47" s="87">
        <f>+F47*(100-G26)/100</f>
        <v>0</v>
      </c>
      <c r="H47" s="22" t="str">
        <f>cennik!B2</f>
        <v>Ft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csillapító a középső szárnyra 40 kg-ig</v>
      </c>
      <c r="B48" s="22">
        <v>283955</v>
      </c>
      <c r="C48" s="23" t="str">
        <f>+VLOOKUP(B48,cennik!A:G,2,FALSE)</f>
        <v>SEVROLL20319-SV  csillapító Central 10 / 18mm kétoldalas 25-40kg</v>
      </c>
      <c r="D48" s="278"/>
      <c r="E48" s="86">
        <f>+VLOOKUP(B48,cennik!A:G,3,FALSE)</f>
        <v>19364.876939999998</v>
      </c>
      <c r="F48" s="91">
        <f t="shared" si="1"/>
        <v>0</v>
      </c>
      <c r="G48" s="87">
        <f>+F48*(100-G26)/100</f>
        <v>0</v>
      </c>
      <c r="H48" s="22" t="str">
        <f>cennik!B2</f>
        <v>Ft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Ütközés tompító (pár) 25 kg</v>
      </c>
      <c r="B49" s="22">
        <v>227185</v>
      </c>
      <c r="C49" s="23" t="str">
        <f>+VLOOKUP(B49,cennik!A:G,2,FALSE)</f>
        <v>K-SEVROLL ütközés csillapító 10/18mm 14-25kg J+B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Ft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Ütközés tompító (pár) 50 kg</v>
      </c>
      <c r="B50" s="22">
        <v>227187</v>
      </c>
      <c r="C50" s="23" t="str">
        <f>+VLOOKUP(B50,cennik!A:G,2,FALSE)</f>
        <v>K-SEVROLL ütközés csillapító 10/18mm 25-50kg J+B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Ft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Összekötő profil H10-3méter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Ft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Összekötő profil H30-3méter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Ft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Összekötő csavar</v>
      </c>
      <c r="B53" s="15">
        <v>89244</v>
      </c>
      <c r="C53" s="23" t="str">
        <f>+VLOOKUP(B53,cennik!A:G,2,FALSE)</f>
        <v>SEVROLL20001  csavar 6,3x32 SEVROLL a Simple</v>
      </c>
      <c r="D53" s="354"/>
      <c r="E53" s="86">
        <f>+VLOOKUP(B53,cennik!A:G,3,FALSE)</f>
        <v>61.50817</v>
      </c>
      <c r="F53" s="86">
        <f>+E53*D53</f>
        <v>0</v>
      </c>
      <c r="G53" s="87">
        <f>+F53*(100-G26)/100</f>
        <v>0</v>
      </c>
      <c r="H53" s="22" t="str">
        <f>cennik!B2</f>
        <v>Ft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porfogó kefe</v>
      </c>
      <c r="B54" s="15">
        <v>95946</v>
      </c>
      <c r="C54" s="23" t="str">
        <f>+VLOOKUP(B54,cennik!A:G,2,FALSE)</f>
        <v>SEVROLL porfogó kefe becsúsztatható 4,8x13mm</v>
      </c>
      <c r="D54" s="354"/>
      <c r="E54" s="86">
        <f>+VLOOKUP(B54,cennik!A:G,3,FALSE)</f>
        <v>90.9</v>
      </c>
      <c r="F54" s="86">
        <f>+E54*D54</f>
        <v>0</v>
      </c>
      <c r="G54" s="87">
        <f>+F54*(100-G26)/100</f>
        <v>0</v>
      </c>
      <c r="H54" s="22" t="str">
        <f>cennik!B2</f>
        <v>Ft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 xml:space="preserve"> A szükséges tömítés hossza a teljes beüvegezésnél (teljes métereket kell rendelni)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(abban az esetben ha H profilt használ hozzá kell számítani a szükséges hosszúságot-a tömítésnek az üveg teljes körvonalán kell lennie)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tömítés üvegre 4mm</v>
      </c>
      <c r="B60" s="15">
        <v>89238</v>
      </c>
      <c r="C60" s="23" t="str">
        <f>+VLOOKUP(B60,cennik!A:G,2,FALSE)</f>
        <v>SEVROLL20031  tömítés üvegre 10/4mm</v>
      </c>
      <c r="D60" s="355"/>
      <c r="E60" s="86">
        <f>+VLOOKUP(B60,cennik!A:G,3,FALSE)</f>
        <v>317.79295000000002</v>
      </c>
      <c r="F60" s="91">
        <f>+CEILING(D60,1)*E60</f>
        <v>0</v>
      </c>
      <c r="G60" s="87">
        <f>+F60*(100-G26)/100</f>
        <v>0</v>
      </c>
      <c r="H60" s="22" t="str">
        <f>cennik!B2</f>
        <v>Ft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tömítés üvegre 4,5 mm</v>
      </c>
      <c r="B61" s="15">
        <v>135164</v>
      </c>
      <c r="C61" s="23" t="str">
        <f>+VLOOKUP(B61,cennik!A:G,2,FALSE)</f>
        <v>SEVROLL 20032-SV tömítés üvegre 10/4,5mm</v>
      </c>
      <c r="D61" s="355"/>
      <c r="E61" s="86">
        <f>+VLOOKUP(B61,cennik!A:G,3,FALSE)</f>
        <v>317.79295000000002</v>
      </c>
      <c r="F61" s="91">
        <f>+CEILING(D61,1)*E61</f>
        <v>0</v>
      </c>
      <c r="G61" s="87">
        <f>+F61*(100-G26)/100</f>
        <v>0</v>
      </c>
      <c r="H61" s="22" t="str">
        <f>cennik!B2</f>
        <v>Ft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tömítés üvegre 6mm</v>
      </c>
      <c r="B62" s="15">
        <v>89243</v>
      </c>
      <c r="C62" s="23" t="str">
        <f>+VLOOKUP(B62,cennik!A:G,2,FALSE)</f>
        <v>SEVROLL 20033-SV  tömítés üvegre 10/6mm</v>
      </c>
      <c r="D62" s="355"/>
      <c r="E62" s="86">
        <f>+VLOOKUP(B62,cennik!A:G,3,FALSE)</f>
        <v>317.79295000000002</v>
      </c>
      <c r="F62" s="91">
        <f>+CEILING(D62,1)*E62</f>
        <v>0</v>
      </c>
      <c r="G62" s="87">
        <f>+F62*(100-G26)/100</f>
        <v>0</v>
      </c>
      <c r="H62" s="22" t="str">
        <f>cennik!B2</f>
        <v>Ft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További tartozékok tolóajtó rendszerekhez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Ennek a rendszernek műszaki rajza</v>
      </c>
      <c r="B64" s="471">
        <v>129677</v>
      </c>
      <c r="C64" s="348" t="str">
        <f>VLOOKUP(B64,cennik!A:C,2,0)</f>
        <v>SEVROLL 20173 szerelő eszköz 10 mm-es rétegelt lemezre kicsi</v>
      </c>
      <c r="D64" s="355"/>
      <c r="E64" s="86">
        <f>+VLOOKUP(B64,cennik!A:G,3,FALSE)</f>
        <v>4493.0024999999996</v>
      </c>
      <c r="F64" s="91">
        <f>+CEILING(D64,1)*E64</f>
        <v>0</v>
      </c>
      <c r="G64" s="87">
        <f>+F64</f>
        <v>0</v>
      </c>
      <c r="H64" s="22" t="str">
        <f>cennik!B2</f>
        <v>Ft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fúró fokozatos 6,5/9,5mm</v>
      </c>
      <c r="D65" s="355"/>
      <c r="E65" s="86">
        <f>+VLOOKUP(B65,cennik!A:G,3,FALSE)</f>
        <v>10898.66318</v>
      </c>
      <c r="F65" s="91">
        <f>+CEILING(D65,1)*E65</f>
        <v>0</v>
      </c>
      <c r="G65" s="87">
        <f>+F65</f>
        <v>0</v>
      </c>
      <c r="H65" s="22" t="str">
        <f>cennik!B2</f>
        <v>Ft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85" t="str">
        <f>IF(SUM(D49:D50)&gt;0,IF(C7&lt;(B4/3),texty!A212,""),"")</f>
        <v/>
      </c>
      <c r="B66" s="685"/>
      <c r="C66" s="685"/>
      <c r="D66" s="685"/>
      <c r="E66" s="685"/>
      <c r="F66" s="685"/>
      <c r="G66" s="685"/>
      <c r="H66" s="685"/>
      <c r="I66" s="685"/>
      <c r="J66" s="349"/>
      <c r="K66" s="363">
        <v>66</v>
      </c>
      <c r="L66" s="19" t="str">
        <f>texty!A128</f>
        <v>ezüst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Összesen áfával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Ft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Az Ön megjegyzése:</v>
      </c>
      <c r="B68" s="690"/>
      <c r="C68" s="691"/>
      <c r="D68" s="691"/>
      <c r="E68" s="691"/>
      <c r="F68" s="691"/>
      <c r="G68" s="692"/>
      <c r="H68" s="22"/>
    </row>
    <row r="69" spans="1:14" ht="12.75" customHeight="1" x14ac:dyDescent="0.25">
      <c r="A69" s="689" t="str">
        <f>profil!U15</f>
        <v/>
      </c>
      <c r="B69" s="679"/>
      <c r="C69" s="679"/>
      <c r="D69" s="679"/>
      <c r="E69" s="679"/>
      <c r="F69" s="679"/>
      <c r="G69" s="679"/>
      <c r="H69" s="679"/>
      <c r="L69" s="22"/>
    </row>
    <row r="70" spans="1:14" ht="12.75" customHeight="1" x14ac:dyDescent="0.25">
      <c r="A70" s="680" t="str">
        <f>IF(N70=1,texty!A215,IF(K70&gt;0,texty!A214,""))</f>
        <v>egyes tételek nem a kiválasztott hosszúságban készülnek</v>
      </c>
      <c r="B70" s="680"/>
      <c r="C70" s="680"/>
      <c r="D70" s="680"/>
      <c r="E70" s="680"/>
      <c r="F70" s="680"/>
      <c r="G70" s="680"/>
      <c r="H70" s="680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4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1700-ezüst, Elegant II</v>
      </c>
      <c r="D4" s="49">
        <v>84385</v>
      </c>
      <c r="E4" s="48" t="str">
        <f>+VLOOKUP(A4,cennik!A:G,2,FALSE)</f>
        <v>SEVROLL 04279 Elegant II alsó vezetés 1,7m ezüst</v>
      </c>
      <c r="F4" s="48" t="str">
        <f>+VLOOKUP(A4,cennik!A:B,2,FALSE)</f>
        <v>SEVROLL 04279 Elegant II alsó vezetés 1,7m ezüst</v>
      </c>
      <c r="G4" s="1" t="e">
        <f>+VLOOKUP(A4,#REF!,4,FALSE)</f>
        <v>#REF!</v>
      </c>
      <c r="H4" s="1" t="s">
        <v>464</v>
      </c>
      <c r="I4" s="1" t="str">
        <f>CONCATENATE(H4,"-",J4,", ",J19)</f>
        <v>1700-ezüst, Elegant II</v>
      </c>
      <c r="J4" s="1" t="str">
        <f>IF($J$1=1,K4,IF($J$1=2,N4,IF($J$1=3,M4,IF($J$1=4,L4,IF($J$1=5,O4,IF($J$1=6,P4,IF($J$1=7,Q4,"zadat jazyk")))))))</f>
        <v>ezüst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2350-ezüst, Elegant II</v>
      </c>
      <c r="D5" s="49">
        <v>84388</v>
      </c>
      <c r="E5" s="48" t="str">
        <f>+VLOOKUP(A5,cennik!A:G,2,FALSE)</f>
        <v>SEVROLL 04280 Elegant II alsó vezetés 2,35m ezüst</v>
      </c>
      <c r="F5" s="48" t="str">
        <f>+VLOOKUP(A5,cennik!A:B,2,FALSE)</f>
        <v>SEVROLL 04280 Elegant II alsó vezetés 2,35m ezüst</v>
      </c>
      <c r="G5" s="1" t="e">
        <f>+VLOOKUP(A5,#REF!,4,FALSE)</f>
        <v>#REF!</v>
      </c>
      <c r="H5" s="1" t="s">
        <v>465</v>
      </c>
      <c r="I5" s="1" t="str">
        <f>CONCATENATE(H5,"-",J4,", ",J19)</f>
        <v>2350-ezüst, Elegant II</v>
      </c>
      <c r="J5" s="1" t="str">
        <f>IF($J$1=1,K5,IF($J$1=2,N5,IF($J$1=3,M5,IF($J$1=4,L5,IF($J$1=5,O5,IF($J$1=6,P5,IF($J$1=7,Q5,"zadat jazyk")))))))</f>
        <v>arany/sárgaréz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3000-ezüst, Elegant II</v>
      </c>
      <c r="D6" s="49">
        <v>84391</v>
      </c>
      <c r="E6" s="48" t="str">
        <f>+VLOOKUP(A6,cennik!A:G,2,FALSE)</f>
        <v>SEVROLL 04281 Elegant II alsó vezetés 3m ezüst</v>
      </c>
      <c r="F6" s="48" t="str">
        <f>+VLOOKUP(A6,cennik!A:B,2,FALSE)</f>
        <v>SEVROLL 04281 Elegant II alsó vezetés 3m ezüst</v>
      </c>
      <c r="G6" s="1" t="e">
        <f>+VLOOKUP(A6,#REF!,4,FALSE)</f>
        <v>#REF!</v>
      </c>
      <c r="H6" s="1" t="s">
        <v>466</v>
      </c>
      <c r="I6" s="1" t="str">
        <f>CONCATENATE(H6,"-",J4,", ",J19)</f>
        <v>3000-ezüst,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4050-ezüst, Elegant II</v>
      </c>
      <c r="D7" s="49">
        <v>84394</v>
      </c>
      <c r="E7" s="48" t="str">
        <f>+VLOOKUP(A7,cennik!A:G,2,FALSE)</f>
        <v>SEVROLL 04282  Elegant II alsó vezetés 4,05m ezüst</v>
      </c>
      <c r="F7" s="48" t="str">
        <f>+VLOOKUP(A7,cennik!A:B,2,FALSE)</f>
        <v>SEVROLL 04282  Elegant II alsó vezetés 4,05m ezüst</v>
      </c>
      <c r="G7" s="1" t="e">
        <f>+VLOOKUP(A7,#REF!,4,FALSE)</f>
        <v>#REF!</v>
      </c>
      <c r="H7" s="1" t="s">
        <v>467</v>
      </c>
      <c r="I7" s="1" t="str">
        <f>CONCATENATE(H7,"-",J4,", ",J19)</f>
        <v>4050-ezüst, Elegant II</v>
      </c>
      <c r="J7" s="1" t="str">
        <f t="shared" si="1"/>
        <v>kefélt oliva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6000-ezüst, Elegant II</v>
      </c>
      <c r="D8" s="49">
        <v>350687</v>
      </c>
      <c r="E8" s="48" t="str">
        <f>+VLOOKUP(A8,cennik!A:G,2,FALSE)</f>
        <v>SEVROLL 04284  Elegant II alsó vezetés 6m ezüst</v>
      </c>
      <c r="F8" s="48" t="str">
        <f>+VLOOKUP(A8,cennik!A:B,2,FALSE)</f>
        <v>SEVROLL 04284  Elegant II alsó vezetés 6m ezüst</v>
      </c>
      <c r="G8" s="1" t="e">
        <f>+VLOOKUP(A8,#REF!,4,FALSE)</f>
        <v>#REF!</v>
      </c>
      <c r="H8" s="144" t="s">
        <v>536</v>
      </c>
      <c r="I8" s="1" t="str">
        <f>CONCATENATE(H8,"-",J4,", ",J19)</f>
        <v>6000-ezüst, Elegant II</v>
      </c>
      <c r="J8" s="1" t="str">
        <f t="shared" si="1"/>
        <v>szálcsi.oliva sö.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1700-arany/sárgaréz, Elegant II</v>
      </c>
      <c r="D9" s="2">
        <v>542698</v>
      </c>
      <c r="E9" s="48" t="str">
        <f>+VLOOKUP(A9,cennik!A:G,2,FALSE)</f>
        <v>SEVROLL 06795 Elegant II alsó vezetés 1,7m arany/sárgaréz</v>
      </c>
      <c r="F9" s="48" t="str">
        <f>+VLOOKUP(A9,cennik!A:B,2,FALSE)</f>
        <v>SEVROLL 06795 Elegant II alsó vezetés 1,7m arany/sárgaréz</v>
      </c>
      <c r="G9" s="1" t="e">
        <f>+VLOOKUP(A9,#REF!,4,FALSE)</f>
        <v>#REF!</v>
      </c>
      <c r="H9" s="1" t="s">
        <v>464</v>
      </c>
      <c r="I9" s="1" t="str">
        <f>CONCATENATE(H9,"-",J5,", ",J19)</f>
        <v>1700-arany/sárgaréz, Elegant II</v>
      </c>
      <c r="J9" s="1" t="str">
        <f t="shared" si="1"/>
        <v>szálcsi.fekete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2350-arany/sárgaréz, Elegant II</v>
      </c>
      <c r="D10" s="49">
        <v>542700</v>
      </c>
      <c r="E10" s="48" t="str">
        <f>+VLOOKUP(A10,cennik!A:G,2,FALSE)</f>
        <v>SEVROLL 06796 Elegant II alsó vezetés 2,35m arany/sárgaréz</v>
      </c>
      <c r="F10" s="48" t="str">
        <f>+VLOOKUP(A10,cennik!A:B,2,FALSE)</f>
        <v>SEVROLL 06796 Elegant II alsó vezetés 2,35m arany/sárgaréz</v>
      </c>
      <c r="G10" s="1" t="e">
        <f>+VLOOKUP(A10,#REF!,4,FALSE)</f>
        <v>#REF!</v>
      </c>
      <c r="H10" s="1" t="s">
        <v>465</v>
      </c>
      <c r="I10" s="1" t="str">
        <f>CONCATENATE(H10,"-",J5,", ",J19)</f>
        <v>2350-arany/sárgaréz,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3000-arany/sárgaréz, Elegant II</v>
      </c>
      <c r="D11" s="49">
        <v>542591</v>
      </c>
      <c r="E11" s="48" t="str">
        <f>+VLOOKUP(A11,cennik!A:G,2,FALSE)</f>
        <v>SEVROLL 06797 Elegant II alsó vezetés 3m arany/sárgaréz</v>
      </c>
      <c r="F11" s="48" t="str">
        <f>+VLOOKUP(A11,cennik!A:B,2,FALSE)</f>
        <v>SEVROLL 06797 Elegant II alsó vezetés 3m arany/sárgaréz</v>
      </c>
      <c r="G11" s="1" t="e">
        <f>+VLOOKUP(A11,#REF!,4,FALSE)</f>
        <v>#REF!</v>
      </c>
      <c r="H11" s="1" t="s">
        <v>466</v>
      </c>
      <c r="I11" s="1" t="str">
        <f>CONCATENATE(H11,"-",J5,", ",J19)</f>
        <v>3000-arany/sárgaréz,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4050-arany/sárgaréz, Elegant II</v>
      </c>
      <c r="D12" s="49">
        <v>542576</v>
      </c>
      <c r="E12" s="48" t="str">
        <f>+VLOOKUP(A12,cennik!A:G,2,FALSE)</f>
        <v>SEVROLL 06798 Elegant II alsó vezetés 4,05m arany/sárgaréz</v>
      </c>
      <c r="F12" s="48" t="str">
        <f>+VLOOKUP(A12,cennik!A:B,2,FALSE)</f>
        <v>SEVROLL 06798 Elegant II alsó vezetés 4,05m arany/sárgaréz</v>
      </c>
      <c r="G12" s="1" t="e">
        <f>+VLOOKUP(A12,#REF!,4,FALSE)</f>
        <v>#REF!</v>
      </c>
      <c r="H12" s="1" t="s">
        <v>467</v>
      </c>
      <c r="I12" s="1" t="str">
        <f>CONCATENATE(H12,"-",J5,", ",J19)</f>
        <v>4050-arany/sárgaréz,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6000-arany/sárgaréz, Elegant II</v>
      </c>
      <c r="D13" s="49">
        <v>542688</v>
      </c>
      <c r="E13" s="48" t="str">
        <f>+VLOOKUP(A13,cennik!A:G,2,FALSE)</f>
        <v>SEVROLL 06799 Elegant II alsó vezetés 6m arany/sárgaréz</v>
      </c>
      <c r="F13" s="48" t="str">
        <f>+VLOOKUP(A13,cennik!A:B,2,FALSE)</f>
        <v>SEVROLL 06799 Elegant II alsó vezetés 6m arany/sárgaréz</v>
      </c>
      <c r="H13" s="1">
        <v>6000</v>
      </c>
      <c r="I13" s="1" t="str">
        <f>CONCATENATE(H13,"-",J5,", ",J19)</f>
        <v>6000-arany/sárgaréz, Elegant II</v>
      </c>
      <c r="J13" s="1" t="str">
        <f t="shared" ref="J13:J18" si="3">IF($J$1=1,K13,IF($J$1=2,N13,IF($J$1=3,M13,IF($J$1=4,L13,IF($J$1=5,O13,IF($J$1=6,P13,IF($J$1=7,Q13,"zadat jazyk")))))))</f>
        <v>szálcsi.fekete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alsó vezetés 1,7m oliva</v>
      </c>
      <c r="F14" s="48" t="str">
        <f>+VLOOKUP(A14,cennik!A:B,2,FALSE)</f>
        <v>SEVROLL 04273 Elegant II alsó vezetés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szálcsi.oliva sö.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alsó vezetés 2,35m oliva</v>
      </c>
      <c r="F15" s="48" t="str">
        <f>+VLOOKUP(A15,cennik!A:B,2,FALSE)</f>
        <v>SEVROLL 04274 Elegant II alsó vezetés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fehér fényes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alsó vezetés 3m oliva</v>
      </c>
      <c r="F16" s="48" t="str">
        <f>+VLOOKUP(A16,cennik!A:B,2,FALSE)</f>
        <v>SEVROLL 04275 Elegant II alsó vezetés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fényes fekete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alsó vezetés 4,05m oliva</v>
      </c>
      <c r="F17" s="48" t="str">
        <f>+VLOOKUP(A17,cennik!A:B,2,FALSE)</f>
        <v>SEVROLL 04276 Elegant II alsó vezetés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matt feket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04278Elegant II alsó vezetés 6m oliva</v>
      </c>
      <c r="F18" s="48" t="str">
        <f>+VLOOKUP(A18,cennik!A:B,2,FALSE)</f>
        <v>SEVROLL 04278Elegant II alsó vezetés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matt fehér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1700-fehér fényes, Elegant II</v>
      </c>
      <c r="D19" s="49">
        <v>276744</v>
      </c>
      <c r="E19" s="48" t="str">
        <f>+VLOOKUP(A19,cennik!A:G,2,FALSE)</f>
        <v>SEVROLL04290 Elegant II alsó vezetés 1,7m fényes fehér</v>
      </c>
      <c r="F19" s="48" t="str">
        <f>+VLOOKUP(A19,cennik!A:B,2,FALSE)</f>
        <v>SEVROLL04290 Elegant II alsó vezetés 1,7m fényes fehér</v>
      </c>
      <c r="H19" s="1">
        <v>1700</v>
      </c>
      <c r="I19" s="1" t="str">
        <f>CONCATENATE(H19,"-",J15,", ",J19)</f>
        <v>1700-fehér fényes,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2350-fehér fényes, Elegant II</v>
      </c>
      <c r="D20" s="49">
        <v>276745</v>
      </c>
      <c r="E20" s="48" t="str">
        <f>+VLOOKUP(A20,cennik!A:G,2,FALSE)</f>
        <v>SEVROL  04291 L Elegant II alsó vezetés 2,35m fényes fehér</v>
      </c>
      <c r="F20" s="48" t="str">
        <f>+VLOOKUP(A20,cennik!A:B,2,FALSE)</f>
        <v>SEVROL  04291 L Elegant II alsó vezetés 2,35m fényes fehér</v>
      </c>
      <c r="H20" s="1">
        <v>2350</v>
      </c>
      <c r="I20" s="1" t="str">
        <f>CONCATENATE(H20,"-",J15,", ",J19)</f>
        <v>2350-fehér fényes,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3000-fehér fényes, Elegant II</v>
      </c>
      <c r="D21" s="49">
        <v>252568</v>
      </c>
      <c r="E21" s="48" t="str">
        <f>+VLOOKUP(A21,cennik!A:G,2,FALSE)</f>
        <v>SEVROLL 04292 Elegant II alsó vezetés 3m fényes fehér</v>
      </c>
      <c r="F21" s="48" t="str">
        <f>+VLOOKUP(A21,cennik!A:B,2,FALSE)</f>
        <v>SEVROLL 04292 Elegant II alsó vezetés 3m fényes fehér</v>
      </c>
      <c r="H21" s="1">
        <v>3000</v>
      </c>
      <c r="I21" s="1" t="str">
        <f>CONCATENATE(H21,"-",J15,", ",J19)</f>
        <v>3000-fehér fényes,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4050-fehér fényes, Elegant II</v>
      </c>
      <c r="D22" s="49">
        <v>276746</v>
      </c>
      <c r="E22" s="48" t="str">
        <f>+VLOOKUP(A22,cennik!A:G,2,FALSE)</f>
        <v>SEVROLL 04293 Elegant II alsó vezetés 4,05m fényes fehér</v>
      </c>
      <c r="F22" s="48" t="str">
        <f>+VLOOKUP(A22,cennik!A:B,2,FALSE)</f>
        <v>SEVROLL 04293 Elegant II alsó vezetés 4,05m fényes fehér</v>
      </c>
      <c r="H22" s="1">
        <v>4050</v>
      </c>
      <c r="I22" s="1" t="str">
        <f>CONCATENATE(H22,"-",J15,", ",J19)</f>
        <v>4050-fehér fényes, Elegant II</v>
      </c>
      <c r="J22" s="1" t="str">
        <f>IF($J$1=1,K22,IF($J$1=2,N22,IF($J$1=3,M22,IF($J$1=4,L22,IF($J$1=5,O22,IF($J$1=6,P22,IF($J$1=7,Q22,"zadat jazyk")))))))</f>
        <v>fekete szerkezeti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6000-fehér fényes, Elegant II</v>
      </c>
      <c r="D23" s="49">
        <v>308645</v>
      </c>
      <c r="E23" s="48" t="str">
        <f>+VLOOKUP(A23,cennik!A:G,2,FALSE)</f>
        <v>SEVROLL Elegant II alsó vezetés 6m fényes fehér</v>
      </c>
      <c r="F23" s="48" t="str">
        <f>+VLOOKUP(A23,cennik!A:B,2,FALSE)</f>
        <v>SEVROLL Elegant II alsó vezetés 6m fényes fehér</v>
      </c>
      <c r="H23" s="1">
        <v>6000</v>
      </c>
      <c r="I23" s="1" t="str">
        <f>CONCATENATE(H23,"-",J15,", ",J19)</f>
        <v>6000-fehér fényes,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1700-kefélt oliva, Elegant II</v>
      </c>
      <c r="D24" s="49">
        <v>120868</v>
      </c>
      <c r="E24" s="48" t="str">
        <f>+VLOOKUP(A24,cennik!A:G,2,FALSE)</f>
        <v>SEVROLL  04333-Y Elegant II alsó vezetés 1,7m oliva szálcsiszolt</v>
      </c>
      <c r="F24" s="48" t="str">
        <f>+VLOOKUP(A24,cennik!A:B,2,FALSE)</f>
        <v>SEVROLL  04333-Y Elegant II alsó vezetés 1,7m oliva szálcsiszolt</v>
      </c>
      <c r="H24" s="1">
        <v>1700</v>
      </c>
      <c r="I24" s="1" t="str">
        <f>CONCATENATE(H24,"-",J7,", ",J19)</f>
        <v>1700-kefélt oliva,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2350-kefélt oliva, Elegant II</v>
      </c>
      <c r="D25" s="49">
        <v>120869</v>
      </c>
      <c r="E25" s="48" t="str">
        <f>+VLOOKUP(A25,cennik!A:G,2,FALSE)</f>
        <v>SEVROLL 04334-Y Elegant II alsó vezetés 2,35m oliva szálcsiszolt</v>
      </c>
      <c r="F25" s="48" t="str">
        <f>+VLOOKUP(A25,cennik!A:B,2,FALSE)</f>
        <v>SEVROLL 04334-Y Elegant II alsó vezetés 2,35m oliva szálcsiszolt</v>
      </c>
      <c r="H25" s="1">
        <v>2350</v>
      </c>
      <c r="I25" s="1" t="str">
        <f>CONCATENATE(H25,"-",J7,", ",J19)</f>
        <v>2350-kefélt oliva,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3000-kefélt oliva, Elegant II</v>
      </c>
      <c r="D26" s="49">
        <v>120870</v>
      </c>
      <c r="E26" s="48" t="str">
        <f>+VLOOKUP(A26,cennik!A:G,2,FALSE)</f>
        <v>SEVROLL 04335-Y Elegant II alsó vezetés 3m oliva szálcsiszolt</v>
      </c>
      <c r="F26" s="48" t="str">
        <f>+VLOOKUP(A26,cennik!A:B,2,FALSE)</f>
        <v>SEVROLL 04335-Y Elegant II alsó vezetés 3m oliva szálcsiszolt</v>
      </c>
      <c r="H26" s="1">
        <v>3000</v>
      </c>
      <c r="I26" s="1" t="str">
        <f>CONCATENATE(H26,"-",J7,", ",J19)</f>
        <v>3000-kefélt oliva,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4050-kefélt oliva, Elegant II</v>
      </c>
      <c r="D27" s="49">
        <v>120871</v>
      </c>
      <c r="E27" s="48" t="str">
        <f>+VLOOKUP(A27,cennik!A:G,2,FALSE)</f>
        <v>SEVROLL 04336-Y  Elegant II alsó vezetés 4,05m oliva szálcsiszolt</v>
      </c>
      <c r="F27" s="48" t="str">
        <f>+VLOOKUP(A27,cennik!A:B,2,FALSE)</f>
        <v>SEVROLL 04336-Y  Elegant II alsó vezetés 4,05m oliva szálcsiszolt</v>
      </c>
      <c r="H27" s="1">
        <v>4050</v>
      </c>
      <c r="I27" s="1" t="str">
        <f>CONCATENATE(H27,"-",J7,", ",J19)</f>
        <v>4050-kefélt oliva,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6000-kefélt oliva, Elegant II</v>
      </c>
      <c r="D28" s="49">
        <v>225367</v>
      </c>
      <c r="E28" s="48" t="str">
        <f>+VLOOKUP(A28,cennik!A:G,2,FALSE)</f>
        <v>SEVROLL Elegant II alsó vezetés 6m oliva szálcsiszolt</v>
      </c>
      <c r="F28" s="48" t="str">
        <f>+VLOOKUP(A28,cennik!A:B,2,FALSE)</f>
        <v>SEVROLL Elegant II alsó vezetés 6m oliva szálcsiszolt</v>
      </c>
      <c r="H28" s="1">
        <v>6000</v>
      </c>
      <c r="I28" s="1" t="str">
        <f>CONCATENATE(H28,"-",J7,", ",J19)</f>
        <v>6000-kefélt oliva,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1700-szálcsi.oliva sö., Elegant II</v>
      </c>
      <c r="D29" s="49">
        <v>205089</v>
      </c>
      <c r="E29" s="48" t="str">
        <f>+VLOOKUP(A29,cennik!A:G,2,FALSE)</f>
        <v>SEVROLL Elegant II alsó vezetés 1,7m oliva sötét szálcsiszolt</v>
      </c>
      <c r="F29" s="48" t="str">
        <f>+VLOOKUP(A29,cennik!A:B,2,FALSE)</f>
        <v>SEVROLL Elegant II alsó vezetés 1,7m oliva sötét szálcsiszolt</v>
      </c>
      <c r="H29" s="1">
        <v>1700</v>
      </c>
      <c r="I29" s="1" t="str">
        <f>CONCATENATE(H29,"-",J8,", ",J19)</f>
        <v>1700-szálcsi.oliva sö.,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2350-szálcsi.oliva sö., Elegant II</v>
      </c>
      <c r="D30" s="49">
        <v>205078</v>
      </c>
      <c r="E30" s="48" t="str">
        <f>+VLOOKUP(A30,cennik!A:G,2,FALSE)</f>
        <v>SEVROLL Elegant II alsó vezetés 2,35m oliva sötét szálcsiszolt</v>
      </c>
      <c r="F30" s="48" t="str">
        <f>+VLOOKUP(A30,cennik!A:B,2,FALSE)</f>
        <v>SEVROLL Elegant II alsó vezetés 2,35m oliva sötét szálcsiszolt</v>
      </c>
      <c r="H30" s="1">
        <v>2350</v>
      </c>
      <c r="I30" s="1" t="str">
        <f>CONCATENATE(H30,"-",J8,", ",J19)</f>
        <v>2350-szálcsi.oliva sö.,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3000-szálcsi.oliva sö., Elegant II</v>
      </c>
      <c r="D31" s="49">
        <v>205098</v>
      </c>
      <c r="E31" s="48" t="str">
        <f>+VLOOKUP(A31,cennik!A:G,2,FALSE)</f>
        <v>SEVROLL Elegant II alsó vezetés 3m oliva sötét szálcsiszolt</v>
      </c>
      <c r="F31" s="48" t="str">
        <f>+VLOOKUP(A31,cennik!A:B,2,FALSE)</f>
        <v>SEVROLL Elegant II alsó vezetés 3m oliva sötét szálcsiszolt</v>
      </c>
      <c r="H31" s="1">
        <v>3000</v>
      </c>
      <c r="I31" s="1" t="str">
        <f>CONCATENATE(H31,"-",J8,", ",J19)</f>
        <v>3000-szálcsi.oliva sö.,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4050-szálcsi.oliva sö., Elegant II</v>
      </c>
      <c r="D32" s="49">
        <v>205087</v>
      </c>
      <c r="E32" s="48" t="str">
        <f>+VLOOKUP(A32,cennik!A:G,2,FALSE)</f>
        <v>SEVROLL Elegant II alsó vezetés 4,05m oliva sötét szálcsiszolt</v>
      </c>
      <c r="F32" s="48" t="str">
        <f>+VLOOKUP(A32,cennik!A:B,2,FALSE)</f>
        <v>SEVROLL Elegant II alsó vezetés 4,05m oliva sötét szálcsiszolt</v>
      </c>
      <c r="H32" s="1">
        <v>4050</v>
      </c>
      <c r="I32" s="1" t="str">
        <f>CONCATENATE(H32,"-",J8,", ",J19)</f>
        <v>4050-szálcsi.oliva sö.,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6000-szálcsi.oliva sö., Elegant II</v>
      </c>
      <c r="D33" s="49">
        <v>225368</v>
      </c>
      <c r="E33" s="48" t="str">
        <f>+VLOOKUP(A33,cennik!A:G,2,FALSE)</f>
        <v>SEVROLL Elegant II alsó vezetés 6m oliva sötét szálcsiszolt</v>
      </c>
      <c r="F33" s="48" t="str">
        <f>+VLOOKUP(A33,cennik!A:B,2,FALSE)</f>
        <v>SEVROLL Elegant II alsó vezetés 6m oliva sötét szálcsiszolt</v>
      </c>
      <c r="H33" s="1">
        <v>6000</v>
      </c>
      <c r="I33" s="1" t="str">
        <f>CONCATENATE(H33,"-",J8,", ",J19)</f>
        <v>6000-szálcsi.oliva sö.,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1700-szálcsi.fekete, Elegant II</v>
      </c>
      <c r="D34" s="49">
        <v>205090</v>
      </c>
      <c r="E34" s="48" t="str">
        <f>+VLOOKUP(A34,cennik!A:G,2,FALSE)</f>
        <v>SEVROLL 04338  Elegant II alsó vezetés 1,7m fekete szálcsiszolt</v>
      </c>
      <c r="F34" s="48" t="str">
        <f>+VLOOKUP(A34,cennik!A:B,2,FALSE)</f>
        <v>SEVROLL 04338  Elegant II alsó vezetés 1,7m fekete szálcsiszolt</v>
      </c>
      <c r="H34" s="1">
        <v>1700</v>
      </c>
      <c r="I34" s="1" t="str">
        <f>CONCATENATE(H34,"-",J9,", ",J19)</f>
        <v>1700-szálcsi.fekete,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2350-szálcsi.fekete, Elegant II</v>
      </c>
      <c r="D35" s="49">
        <v>205079</v>
      </c>
      <c r="E35" s="48" t="str">
        <f>+VLOOKUP(A35,cennik!A:G,2,FALSE)</f>
        <v>SEVROLL  04339 Elegant II alsó vezetés 2,35m fekete szálcsiszolt</v>
      </c>
      <c r="F35" s="48" t="str">
        <f>+VLOOKUP(A35,cennik!A:B,2,FALSE)</f>
        <v>SEVROLL  04339 Elegant II alsó vezetés 2,35m fekete szálcsiszolt</v>
      </c>
      <c r="H35" s="1">
        <v>2350</v>
      </c>
      <c r="I35" s="1" t="str">
        <f>CONCATENATE(H35,"-",J9,", ",J19)</f>
        <v>2350-szálcsi.fekete,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3000-szálcsi.fekete, Elegant II</v>
      </c>
      <c r="D36" s="49">
        <v>205186</v>
      </c>
      <c r="E36" s="48" t="str">
        <f>+VLOOKUP(A36,cennik!A:G,2,FALSE)</f>
        <v>SEVROLL  04340 Elegant II alsó vezetés 3m fekete szálcsiszolt</v>
      </c>
      <c r="F36" s="48" t="str">
        <f>+VLOOKUP(A36,cennik!A:B,2,FALSE)</f>
        <v>SEVROLL  04340 Elegant II alsó vezetés 3m fekete szálcsiszolt</v>
      </c>
      <c r="H36" s="1">
        <v>3000</v>
      </c>
      <c r="I36" s="1" t="str">
        <f>CONCATENATE(H36,"-",J9,", ",J19)</f>
        <v>3000-szálcsi.fekete,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4050-szálcsi.fekete, Elegant II</v>
      </c>
      <c r="D37" s="49">
        <v>205088</v>
      </c>
      <c r="E37" s="48" t="str">
        <f>+VLOOKUP(A37,cennik!A:G,2,FALSE)</f>
        <v>SEVROLL  04341 Elegant II alsó vezetés 4,05m fekete szálcsiszolt</v>
      </c>
      <c r="F37" s="48" t="str">
        <f>+VLOOKUP(A37,cennik!A:B,2,FALSE)</f>
        <v>SEVROLL  04341 Elegant II alsó vezetés 4,05m fekete szálcsiszolt</v>
      </c>
      <c r="H37" s="1">
        <v>4050</v>
      </c>
      <c r="I37" s="1" t="str">
        <f>CONCATENATE(H37,"-",J9,", ",J19)</f>
        <v>4050-szálcsi.fekete,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6000-szálcsi.fekete, Elegant II</v>
      </c>
      <c r="D38" s="49">
        <v>225369</v>
      </c>
      <c r="E38" s="48" t="str">
        <f>+VLOOKUP(A38,cennik!A:G,2,FALSE)</f>
        <v>SEVROLL Elegant II alsó vezetés 6m fekete szálcsiszolt</v>
      </c>
      <c r="F38" s="48" t="str">
        <f>+VLOOKUP(A38,cennik!A:B,2,FALSE)</f>
        <v>SEVROLL Elegant II alsó vezetés 6m fekete szálcsiszolt</v>
      </c>
      <c r="H38" s="1">
        <v>6000</v>
      </c>
      <c r="I38" s="1" t="str">
        <f>CONCATENATE(H38,"-",J9,", ",J19)</f>
        <v>6000-szálcsi.fekete,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1700-ezüst, Gemini</v>
      </c>
      <c r="D39" s="49">
        <v>84410</v>
      </c>
      <c r="E39" s="48" t="str">
        <f>+VLOOKUP(A39,cennik!A:G,2,FALSE)</f>
        <v>SEVROLL Gemini II alsó vezetés 1,7m ezüst</v>
      </c>
      <c r="F39" s="48" t="str">
        <f>+VLOOKUP(A39,cennik!A:B,2,FALSE)</f>
        <v>SEVROLL Gemini II alsó vezetés 1,7m ezüst</v>
      </c>
      <c r="H39" s="1">
        <v>1700</v>
      </c>
      <c r="I39" s="1" t="str">
        <f>CONCATENATE(H39,"-",J4,", ",J21)</f>
        <v>1700-ezüst,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2350-ezüst, Gemini</v>
      </c>
      <c r="D40" s="49">
        <v>98057</v>
      </c>
      <c r="E40" s="48" t="str">
        <f>+VLOOKUP(A40,cennik!A:G,2,FALSE)</f>
        <v>SEVROLL 04592 Gemini II alsó vezetés 2,35m ezüst</v>
      </c>
      <c r="F40" s="48" t="str">
        <f>+VLOOKUP(A40,cennik!A:B,2,FALSE)</f>
        <v>SEVROLL 04592 Gemini II alsó vezetés 2,35m ezüst</v>
      </c>
      <c r="H40" s="1">
        <v>2350</v>
      </c>
      <c r="I40" s="1" t="str">
        <f>CONCATENATE(H40,"-",J4,", ",J21)</f>
        <v>2350-ezüst,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3000-ezüst, Gemini</v>
      </c>
      <c r="D41" s="49">
        <v>84412</v>
      </c>
      <c r="E41" s="48" t="str">
        <f>+VLOOKUP(A41,cennik!A:G,2,FALSE)</f>
        <v>SEVROLL 04593 Gemini II alsó vezetés 3m ezüst</v>
      </c>
      <c r="F41" s="48" t="str">
        <f>+VLOOKUP(A41,cennik!A:B,2,FALSE)</f>
        <v>SEVROLL 04593 Gemini II alsó vezetés 3m ezüst</v>
      </c>
      <c r="H41" s="1">
        <v>3000</v>
      </c>
      <c r="I41" s="1" t="str">
        <f>CONCATENATE(H41,"-",J4,", ",J21)</f>
        <v>3000-ezüst,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4050-ezüst, Gemini</v>
      </c>
      <c r="D42" s="49">
        <v>98058</v>
      </c>
      <c r="E42" s="48" t="str">
        <f>+VLOOKUP(A42,cennik!A:G,2,FALSE)</f>
        <v>SEVROLL 04594 Gemini II alsó vezetés 4,05m ezüst</v>
      </c>
      <c r="F42" s="48" t="str">
        <f>+VLOOKUP(A42,cennik!A:B,2,FALSE)</f>
        <v>SEVROLL 04594 Gemini II alsó vezetés 4,05m ezüst</v>
      </c>
      <c r="H42" s="1">
        <v>4050</v>
      </c>
      <c r="I42" s="1" t="str">
        <f>CONCATENATE(H42,"-",J4,", ",J21)</f>
        <v>4050-ezüst,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6000-ezüst, Gemini</v>
      </c>
      <c r="D43" s="49">
        <v>159409</v>
      </c>
      <c r="E43" s="48" t="str">
        <f>+VLOOKUP(A43,cennik!A:G,2,FALSE)</f>
        <v>SEVROLL 04595 Gemini II alsó vezetés 6m ezüst</v>
      </c>
      <c r="F43" s="48" t="str">
        <f>+VLOOKUP(A43,cennik!A:B,2,FALSE)</f>
        <v>SEVROLL 04595 Gemini II alsó vezetés 6m ezüst</v>
      </c>
      <c r="H43" s="1">
        <v>6000</v>
      </c>
      <c r="I43" s="1" t="str">
        <f>CONCATENATE(H43,"-",J4,", ",J21)</f>
        <v>6000-ezüst,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alsó vezetés 1,7m oliva</v>
      </c>
      <c r="F44" s="48" t="str">
        <f>+VLOOKUP(A44,cennik!A:B,2,FALSE)</f>
        <v>SEVROLL 04586 Gemini II alsó vezetés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alsó vezetés 2,35m oliva</v>
      </c>
      <c r="F45" s="48" t="str">
        <f>+VLOOKUP(A45,cennik!A:B,2,FALSE)</f>
        <v>SEVROLL 04587 Gemini II alsó vezetés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alsó vezetés 3m oliva</v>
      </c>
      <c r="F46" s="48" t="str">
        <f>+VLOOKUP(A46,cennik!A:B,2,FALSE)</f>
        <v>SEVROLL 04588 Gemini II alsó vezetés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alsó vezetés 4,05m oliva</v>
      </c>
      <c r="F47" s="48" t="str">
        <f>+VLOOKUP(A47,cennik!A:B,2,FALSE)</f>
        <v>SEVROLL 04589 Gemini II alsó vezetés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alsó vezetés 6m oliva</v>
      </c>
      <c r="F48" s="48" t="str">
        <f>+VLOOKUP(A48,cennik!A:B,2,FALSE)</f>
        <v>SEVROLL 04590 Gemini II alsó vezetés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1700-fehér fényes, Gemini</v>
      </c>
      <c r="D49" s="49">
        <v>351475</v>
      </c>
      <c r="E49" s="48" t="str">
        <f>+VLOOKUP(A49,cennik!A:G,2,FALSE)</f>
        <v>SEVROLL Gemini II alsó vezetés 1,7m fényes fehér</v>
      </c>
      <c r="F49" s="48" t="str">
        <f>+VLOOKUP(A49,cennik!A:B,2,FALSE)</f>
        <v>SEVROLL Gemini II alsó vezetés 1,7m fényes fehér</v>
      </c>
      <c r="H49" s="1">
        <v>1700</v>
      </c>
      <c r="I49" s="1" t="str">
        <f>CONCATENATE(H49,"-",J15,", ",J21)</f>
        <v>1700-fehér fényes,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2350-fehér fényes, Gemini</v>
      </c>
      <c r="D50" s="49">
        <v>351476</v>
      </c>
      <c r="E50" s="48" t="str">
        <f>+VLOOKUP(A50,cennik!A:G,2,FALSE)</f>
        <v>SEVROLL Gemini II alsó vezetés 2,35m fényes fehér</v>
      </c>
      <c r="F50" s="48" t="str">
        <f>+VLOOKUP(A50,cennik!A:B,2,FALSE)</f>
        <v>SEVROLL Gemini II alsó vezetés 2,35m fényes fehér</v>
      </c>
      <c r="H50" s="1">
        <v>2350</v>
      </c>
      <c r="I50" s="1" t="str">
        <f>CONCATENATE(H50,"-",J15,", ",J21)</f>
        <v>2350-fehér fényes,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3000-fehér fényes, Gemini</v>
      </c>
      <c r="D51" s="49">
        <v>351517</v>
      </c>
      <c r="E51" s="48" t="str">
        <f>+VLOOKUP(A51,cennik!A:G,2,FALSE)</f>
        <v>SEVROLL Gemini II alsó vezetés 3m fényes fehér</v>
      </c>
      <c r="F51" s="48" t="str">
        <f>+VLOOKUP(A51,cennik!A:B,2,FALSE)</f>
        <v>SEVROLL Gemini II alsó vezetés 3m fényes fehér</v>
      </c>
      <c r="H51" s="1">
        <v>3000</v>
      </c>
      <c r="I51" s="1" t="str">
        <f>CONCATENATE(H51,"-",J15,", ",J21)</f>
        <v>3000-fehér fényes,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4050-fehér fényes, Gemini</v>
      </c>
      <c r="D52" s="49">
        <v>351541</v>
      </c>
      <c r="E52" s="48" t="str">
        <f>+VLOOKUP(A52,cennik!A:G,2,FALSE)</f>
        <v>SEVROLL Gemini II alsó vezetés 4,05m fényes fehér</v>
      </c>
      <c r="F52" s="48" t="str">
        <f>+VLOOKUP(A52,cennik!A:B,2,FALSE)</f>
        <v>SEVROLL Gemini II alsó vezetés 4,05m fényes fehér</v>
      </c>
      <c r="H52" s="1">
        <v>4050</v>
      </c>
      <c r="I52" s="1" t="str">
        <f>CONCATENATE(H52,"-",J15,", ",J21)</f>
        <v>4050-fehér fényes,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6000-fehér fényes, Gemini</v>
      </c>
      <c r="D53" s="49">
        <v>351578</v>
      </c>
      <c r="E53" s="48" t="str">
        <f>+VLOOKUP(A53,cennik!A:G,2,FALSE)</f>
        <v>SEVROLL Gemini II alsó vezetés 6m fényes fehér</v>
      </c>
      <c r="F53" s="48" t="str">
        <f>+VLOOKUP(A53,cennik!A:B,2,FALSE)</f>
        <v>SEVROLL Gemini II alsó vezetés 6m fényes fehér</v>
      </c>
      <c r="H53" s="1">
        <v>6000</v>
      </c>
      <c r="I53" s="1" t="str">
        <f>CONCATENATE(H53,"-",J15,", ",J21)</f>
        <v>6000-fehér fényes,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alsó vezetés 1,7m grafit</v>
      </c>
      <c r="F54" s="48" t="str">
        <f>+VLOOKUP(A54,cennik!A:B,2,FALSE)</f>
        <v>SEVROLL 06042 Elegant II alsó vezetés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alsó vezetés 2,35m grafit</v>
      </c>
      <c r="F55" s="48" t="str">
        <f>+VLOOKUP(A55,cennik!A:B,2,FALSE)</f>
        <v>SEVROLL 06043 Elegant II alsó vezetés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alsó vezetés 3m grafit</v>
      </c>
      <c r="F56" s="48" t="str">
        <f>+VLOOKUP(A56,cennik!A:B,2,FALSE)</f>
        <v>SEVROLL 06020 Elegant II alsó vezetés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alsó vezetés 4,05m grafit</v>
      </c>
      <c r="F57" s="48" t="str">
        <f>+VLOOKUP(A57,cennik!A:B,2,FALSE)</f>
        <v>SEVROLL 06021 Elegant II alsó vezetés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alsó vezetés 6m grafit</v>
      </c>
      <c r="F58" s="48" t="str">
        <f>+VLOOKUP(A58,cennik!A:B,2,FALSE)</f>
        <v>SEVROLL 06044 Elegant II alsó vezetés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4050-matt feket, Elegant II</v>
      </c>
      <c r="D59" s="49">
        <v>409676</v>
      </c>
      <c r="E59" s="48" t="str">
        <f>+VLOOKUP(A59,cennik!A:G,2,FALSE)</f>
        <v>SEVROLL 05311 Elegant II alsó vezetés 4,05m matt fekete</v>
      </c>
      <c r="F59" s="48" t="str">
        <f>+VLOOKUP(A59,cennik!A:B,2,FALSE)</f>
        <v>SEVROLL 05311 Elegant II alsó vezetés 4,05m matt fekete</v>
      </c>
      <c r="H59" s="1">
        <v>4050</v>
      </c>
      <c r="I59" s="1" t="str">
        <f>CONCATENATE(H59,"-",J17,", ",J21)</f>
        <v>4050-matt feket,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2350-matt feket, Elegant II</v>
      </c>
      <c r="D60" s="49">
        <v>409678</v>
      </c>
      <c r="E60" s="48" t="str">
        <f>+VLOOKUP(A60,cennik!A:G,2,FALSE)</f>
        <v>SEVROLL 05309  Elegant II alsó vezetés 2,35m matt fekete</v>
      </c>
      <c r="F60" s="48" t="str">
        <f>+VLOOKUP(A60,cennik!A:B,2,FALSE)</f>
        <v>SEVROLL 05309  Elegant II alsó vezetés 2,35m matt fekete</v>
      </c>
      <c r="H60" s="1">
        <v>2350</v>
      </c>
      <c r="I60" s="1" t="str">
        <f>CONCATENATE(H60,"-",J17,", ",J21)</f>
        <v>2350-matt feket,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3000-matt feket, Elegant II</v>
      </c>
      <c r="D61" s="49">
        <v>412231</v>
      </c>
      <c r="E61" s="48" t="str">
        <f>+VLOOKUP(A61,cennik!A:G,2,FALSE)</f>
        <v>SEVROLL 05310 Elegant II alsó vezetés 3m matt fekete</v>
      </c>
      <c r="F61" s="48" t="str">
        <f>+VLOOKUP(A61,cennik!A:B,2,FALSE)</f>
        <v>SEVROLL 05310 Elegant II alsó vezetés 3m matt fekete</v>
      </c>
      <c r="H61" s="1">
        <v>3000</v>
      </c>
      <c r="I61" s="1" t="str">
        <f>CONCATENATE(H61,"-",J17,", ",J21)</f>
        <v>3000-matt feket,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1700-matt feket, Elegant II</v>
      </c>
      <c r="D62" s="49">
        <v>422007</v>
      </c>
      <c r="E62" s="48" t="str">
        <f>+VLOOKUP(A62,cennik!A:G,2,FALSE)</f>
        <v>SEVROLL 05308 Elegant II alsó vezetés 1,7m matt fekete</v>
      </c>
      <c r="F62" s="48" t="str">
        <f>+VLOOKUP(A62,cennik!A:B,2,FALSE)</f>
        <v>SEVROLL 05308 Elegant II alsó vezetés 1,7m matt fekete</v>
      </c>
      <c r="H62" s="1">
        <v>1700</v>
      </c>
      <c r="I62" s="1" t="str">
        <f>CONCATENATE(H62,"-",J17,", ",J21)</f>
        <v>1700-matt feket,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6000-matt feket, Elegant II</v>
      </c>
      <c r="D63" s="49">
        <v>452743</v>
      </c>
      <c r="E63" s="48" t="str">
        <f>+VLOOKUP(A63,cennik!A:G,2,FALSE)</f>
        <v>SEVROLL Elegant II alsó vezetés 6m matt fekete</v>
      </c>
      <c r="F63" s="48" t="str">
        <f>+VLOOKUP(A63,cennik!A:B,2,FALSE)</f>
        <v>SEVROLL Elegant II alsó vezetés 6m matt fekete</v>
      </c>
      <c r="H63" s="1">
        <v>6000</v>
      </c>
      <c r="I63" s="1" t="str">
        <f>CONCATENATE(H63,"-",J17,", ",J21)</f>
        <v>6000-matt feket,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1700-arany/sárgaréz,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1700-arany/sárgaréz,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2350-arany/sárgaréz,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2350-arany/sárgaréz,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3000-arany/sárgaréz,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3000-arany/sárgaréz,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4050-arany/sárgaréz,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4050-arany/sárgaréz,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6000-arany/sárgaréz,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6000-arany/sárgaréz,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1700-kefélt oliva,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1700-kefélt oliva,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2350-kefélt oliva,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2350-kefélt oliva,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3000-kefélt oliva,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3000-kefélt oliva,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4050-kefélt oliva,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4050-kefélt oliva,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6000-kefélt oliva,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6000-kefélt oliva,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1700-szálcsi.oliva sö.,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1700-szálcsi.oliva sö.,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2350-szálcsi.oliva sö.,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2350-szálcsi.oliva sö.,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3000-szálcsi.oliva sö.,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3000-szálcsi.oliva sö.,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4050-szálcsi.oliva sö.,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4050-szálcsi.oliva sö.,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6000-szálcsi.oliva sö.,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6000-szálcsi.oliva sö.,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1700-szálcsi.fekete,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1700-szálcsi.fekete,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2350-szálcsi.fekete,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2350-szálcsi.fekete,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3000-szálcsi.fekete,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3000-szálcsi.fekete,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4050-szálcsi.fekete,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4050-szálcsi.fekete,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6000-szálcsi.fekete,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6000-szálcsi.fekete,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1700-fekete szerkezeti, Elegant II</v>
      </c>
      <c r="D84" s="196">
        <v>526506</v>
      </c>
      <c r="E84" s="48" t="str">
        <f>+VLOOKUP(A84,cennik!A:G,2,FALSE)</f>
        <v>SEVROLL 06269 Elegant II alsó vezetés 1,7m  fekete szerkezeti</v>
      </c>
      <c r="F84" s="48" t="str">
        <f>+VLOOKUP(A84,cennik!A:B,2,FALSE)</f>
        <v>SEVROLL 06269 Elegant II alsó vezetés 1,7m  fekete szerkezeti</v>
      </c>
      <c r="H84" s="1">
        <v>1700</v>
      </c>
      <c r="I84" s="1" t="str">
        <f>CONCATENATE(H84,"-",J22,", ",J20)</f>
        <v>1700-fekete szerkezeti, Elegant II</v>
      </c>
    </row>
    <row r="85" spans="1:26" ht="15" customHeight="1" x14ac:dyDescent="0.3">
      <c r="A85" s="196">
        <v>526509</v>
      </c>
      <c r="C85" s="1" t="str">
        <f>CONCATENATE(H85,"-",J22,", ",J20)</f>
        <v>2350-fekete szerkezeti, Elegant II</v>
      </c>
      <c r="D85" s="196">
        <v>526509</v>
      </c>
      <c r="E85" s="48" t="str">
        <f>+VLOOKUP(A85,cennik!A:G,2,FALSE)</f>
        <v>SEVROLL 06270  Elegant II alsó vezetés 2,35m fekete szerkezeti</v>
      </c>
      <c r="F85" s="48" t="str">
        <f>+VLOOKUP(A85,cennik!A:B,2,FALSE)</f>
        <v>SEVROLL 06270  Elegant II alsó vezetés 2,35m fekete szerkezeti</v>
      </c>
      <c r="H85" s="1">
        <v>2350</v>
      </c>
      <c r="I85" s="1" t="str">
        <f>CONCATENATE(H85,"-",J22,", ",J20)</f>
        <v>2350-fekete szerkezeti, Elegant II</v>
      </c>
    </row>
    <row r="86" spans="1:26" ht="15" customHeight="1" x14ac:dyDescent="0.3">
      <c r="A86" s="196">
        <v>526510</v>
      </c>
      <c r="C86" s="1" t="str">
        <f>CONCATENATE(H86,"-",J22,", ",J20)</f>
        <v>3000-fekete szerkezeti, Elegant II</v>
      </c>
      <c r="D86" s="196">
        <v>526510</v>
      </c>
      <c r="E86" s="48" t="str">
        <f>+VLOOKUP(A86,cennik!A:G,2,FALSE)</f>
        <v>SEVROLL 06271 Elegant II alsó vezetés 3m fekete szerkezeti</v>
      </c>
      <c r="F86" s="48" t="str">
        <f>+VLOOKUP(A86,cennik!A:B,2,FALSE)</f>
        <v>SEVROLL 06271 Elegant II alsó vezetés 3m fekete szerkezeti</v>
      </c>
      <c r="H86" s="1">
        <v>3000</v>
      </c>
      <c r="I86" s="1" t="str">
        <f>CONCATENATE(H86,"-",J22,", ",J20)</f>
        <v>3000-fekete szerkezeti, Elegant II</v>
      </c>
    </row>
    <row r="87" spans="1:26" ht="15" customHeight="1" x14ac:dyDescent="0.3">
      <c r="A87" s="196">
        <v>526511</v>
      </c>
      <c r="C87" s="1" t="str">
        <f>CONCATENATE(H87,"-",J22,", ",J20)</f>
        <v>4050-fekete szerkezeti, Elegant II</v>
      </c>
      <c r="D87" s="196">
        <v>526511</v>
      </c>
      <c r="E87" s="48" t="str">
        <f>+VLOOKUP(A87,cennik!A:G,2,FALSE)</f>
        <v>SEVROLL 06272 Elegant II alsó vezetés 4,05m fekete szerkezeti</v>
      </c>
      <c r="F87" s="48" t="str">
        <f>+VLOOKUP(A87,cennik!A:B,2,FALSE)</f>
        <v>SEVROLL 06272 Elegant II alsó vezetés 4,05m fekete szerkezeti</v>
      </c>
      <c r="H87" s="1">
        <v>4050</v>
      </c>
      <c r="I87" s="1" t="str">
        <f>CONCATENATE(H87,"-",J22,", ",J20)</f>
        <v>4050-fekete szerkezeti, Elegant II</v>
      </c>
    </row>
    <row r="88" spans="1:26" ht="15" customHeight="1" x14ac:dyDescent="0.3">
      <c r="A88" s="196">
        <v>526512</v>
      </c>
      <c r="C88" s="1" t="str">
        <f>CONCATENATE(H88,"-",J22,", ",J20)</f>
        <v>6000-fekete szerkezeti, Elegant II</v>
      </c>
      <c r="D88" s="196">
        <v>526512</v>
      </c>
      <c r="E88" s="48" t="str">
        <f>+VLOOKUP(A88,cennik!A:G,2,FALSE)</f>
        <v>SEVROLL 06128 Elegant II alsó vezetés 6m fekete szerkezeti</v>
      </c>
      <c r="F88" s="48" t="str">
        <f>+VLOOKUP(A88,cennik!A:B,2,FALSE)</f>
        <v>SEVROLL 06128 Elegant II alsó vezetés 6m fekete szerkezeti</v>
      </c>
      <c r="H88" s="1">
        <v>6000</v>
      </c>
      <c r="I88" s="1" t="str">
        <f>CONCATENATE(H88,"-",J22,", ",J20)</f>
        <v>6000-fekete szerkezeti, Elegant II</v>
      </c>
    </row>
    <row r="89" spans="1:26" ht="15" customHeight="1" x14ac:dyDescent="0.3">
      <c r="A89" s="2">
        <v>394792</v>
      </c>
      <c r="C89" s="1" t="str">
        <f>CONCATENATE(H89,"-",J18,", ",J19)</f>
        <v>1700-matt fehér, Elegant II</v>
      </c>
      <c r="D89" s="2">
        <v>394792</v>
      </c>
      <c r="E89" s="48" t="str">
        <f>+VLOOKUP(A89,cennik!A:G,2,FALSE)</f>
        <v>SEVROLL 05081 Elegant II alsó vezetés 1,7m matt fehér</v>
      </c>
      <c r="F89" s="48" t="str">
        <f>+VLOOKUP(A89,cennik!A:B,2,FALSE)</f>
        <v>SEVROLL 05081 Elegant II alsó vezetés 1,7m matt fehér</v>
      </c>
      <c r="H89" s="1">
        <v>1700</v>
      </c>
      <c r="I89" s="1" t="str">
        <f>CONCATENATE(H89,"-",J18,", ",J19)</f>
        <v>1700-matt fehér, Elegant II</v>
      </c>
    </row>
    <row r="90" spans="1:26" ht="15" customHeight="1" x14ac:dyDescent="0.3">
      <c r="A90" s="2">
        <v>394795</v>
      </c>
      <c r="C90" s="1" t="str">
        <f>CONCATENATE(H90,"-",J18,", ",J19)</f>
        <v>2350-matt fehér, Elegant II</v>
      </c>
      <c r="D90" s="2">
        <v>394795</v>
      </c>
      <c r="E90" s="48" t="str">
        <f>+VLOOKUP(A90,cennik!A:G,2,FALSE)</f>
        <v>SEVROLL 05160 Elegant II alsó vezetés 2,35m matt fehér</v>
      </c>
      <c r="F90" s="48" t="str">
        <f>+VLOOKUP(A90,cennik!A:B,2,FALSE)</f>
        <v>SEVROLL 05160 Elegant II alsó vezetés 2,35m matt fehér</v>
      </c>
      <c r="H90" s="1">
        <v>2350</v>
      </c>
      <c r="I90" s="1" t="str">
        <f>CONCATENATE(H90,"-",J18,", ",J19)</f>
        <v>2350-matt fehér, Elegant II</v>
      </c>
    </row>
    <row r="91" spans="1:26" ht="15" customHeight="1" x14ac:dyDescent="0.3">
      <c r="A91" s="2">
        <v>276743</v>
      </c>
      <c r="C91" s="1" t="str">
        <f>CONCATENATE(H91,"-",J18,", ",J19)</f>
        <v>3000-matt fehér, Elegant II</v>
      </c>
      <c r="D91" s="2">
        <v>276743</v>
      </c>
      <c r="E91" s="48" t="str">
        <f>+VLOOKUP(A91,cennik!A:G,2,FALSE)</f>
        <v>SEVROLL  04437 Elegant II alsó vezetés 3m matt fehér</v>
      </c>
      <c r="F91" s="48" t="str">
        <f>+VLOOKUP(A91,cennik!A:B,2,FALSE)</f>
        <v>SEVROLL  04437 Elegant II alsó vezetés 3m matt fehér</v>
      </c>
      <c r="H91" s="1">
        <v>3000</v>
      </c>
      <c r="I91" s="1" t="str">
        <f>CONCATENATE(H91,"-",J18,", ",J19)</f>
        <v>3000-matt fehér, Elegant II</v>
      </c>
    </row>
    <row r="92" spans="1:26" ht="15" customHeight="1" x14ac:dyDescent="0.3">
      <c r="A92" s="2">
        <v>394796</v>
      </c>
      <c r="C92" s="1" t="str">
        <f>CONCATENATE(H92,"-",J18,", ",J19)</f>
        <v>4050-matt fehér, Elegant II</v>
      </c>
      <c r="D92" s="2">
        <v>394796</v>
      </c>
      <c r="E92" s="48" t="str">
        <f>+VLOOKUP(A92,cennik!A:G,2,FALSE)</f>
        <v>SEVROLL 05161 Elegant II alsó vezetés 4,05m matt fehér</v>
      </c>
      <c r="F92" s="48" t="str">
        <f>+VLOOKUP(A92,cennik!A:B,2,FALSE)</f>
        <v>SEVROLL 05161 Elegant II alsó vezetés 4,05m matt fehér</v>
      </c>
      <c r="H92" s="1">
        <v>4050</v>
      </c>
      <c r="I92" s="1" t="str">
        <f>CONCATENATE(H92,"-",J18,", ",J19)</f>
        <v>4050-matt fehér, Elegant II</v>
      </c>
    </row>
    <row r="93" spans="1:26" ht="15" customHeight="1" x14ac:dyDescent="0.3">
      <c r="A93" s="2">
        <v>394800</v>
      </c>
      <c r="C93" s="1" t="str">
        <f>CONCATENATE(H93,"-",J18,", ",J19)</f>
        <v>6000-matt fehér, Elegant II</v>
      </c>
      <c r="D93" s="2">
        <v>394800</v>
      </c>
      <c r="E93" s="48" t="str">
        <f>+VLOOKUP(A93,cennik!A:G,2,FALSE)</f>
        <v>SEVROLL Elegant II alsó vezetés 6m matt fehér</v>
      </c>
      <c r="F93" s="48" t="str">
        <f>+VLOOKUP(A93,cennik!A:B,2,FALSE)</f>
        <v>SEVROLL Elegant II alsó vezetés 6m matt fehér</v>
      </c>
      <c r="H93" s="1">
        <v>6000</v>
      </c>
      <c r="I93" s="1" t="str">
        <f>CONCATENATE(H93,"-",J18,", ",J19)</f>
        <v>6000-matt fehér,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1700-fényes fekete, Elegant II</v>
      </c>
      <c r="D94" s="418">
        <v>405393</v>
      </c>
      <c r="E94" s="419" t="str">
        <f>+VLOOKUP(A94,cennik!A:G,2,FALSE)</f>
        <v>SEVROLL 05155 Elegant II alsó vezetés 1,7m fényes fekete</v>
      </c>
      <c r="F94" s="419" t="str">
        <f>+VLOOKUP(A94,cennik!A:B,2,FALSE)</f>
        <v>SEVROLL 05155 Elegant II alsó vezetés 1,7m fényes fekete</v>
      </c>
      <c r="G94" s="417"/>
      <c r="H94" s="417">
        <v>1700</v>
      </c>
      <c r="I94" s="1" t="str">
        <f>CONCATENATE(H94,"-",J16,", ",J19)</f>
        <v>1700-fényes fekete,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2350-fényes fekete, Elegant II</v>
      </c>
      <c r="D95" s="418">
        <v>398188</v>
      </c>
      <c r="E95" s="419" t="str">
        <f>+VLOOKUP(A95,cennik!A:G,2,FALSE)</f>
        <v>SEVROLL 05156 Elegant II alsó vezetés 2,35m fényes fekete</v>
      </c>
      <c r="F95" s="419" t="str">
        <f>+VLOOKUP(A95,cennik!A:B,2,FALSE)</f>
        <v>SEVROLL 05156 Elegant II alsó vezetés 2,35m fényes fekete</v>
      </c>
      <c r="G95" s="417"/>
      <c r="H95" s="417">
        <v>2350</v>
      </c>
      <c r="I95" s="1" t="str">
        <f>CONCATENATE(H95,"-",J16,", ",J19)</f>
        <v>2350-fényes fekete,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3000-fényes fekete, Elegant II</v>
      </c>
      <c r="D96" s="418">
        <v>405403</v>
      </c>
      <c r="E96" s="419" t="str">
        <f>+VLOOKUP(A96,cennik!A:G,2,FALSE)</f>
        <v>SEVROLL 05157 Elegant II alsó vezetés 3m fényes fekete</v>
      </c>
      <c r="F96" s="419" t="str">
        <f>+VLOOKUP(A96,cennik!A:B,2,FALSE)</f>
        <v>SEVROLL 05157 Elegant II alsó vezetés 3m fényes fekete</v>
      </c>
      <c r="G96" s="417"/>
      <c r="H96" s="417">
        <v>3000</v>
      </c>
      <c r="I96" s="1" t="str">
        <f>CONCATENATE(H96,"-",J16,", ",J19)</f>
        <v>3000-fényes fekete,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4050-fényes fekete, Elegant II</v>
      </c>
      <c r="D97" s="418">
        <v>405404</v>
      </c>
      <c r="E97" s="419" t="str">
        <f>+VLOOKUP(A97,cennik!A:G,2,FALSE)</f>
        <v>SEVROLL05158  Elegant II alsó vezetés 4,05m fényes fekete</v>
      </c>
      <c r="F97" s="419" t="str">
        <f>+VLOOKUP(A97,cennik!A:B,2,FALSE)</f>
        <v>SEVROLL05158  Elegant II alsó vezetés 4,05m fényes fekete</v>
      </c>
      <c r="G97" s="417"/>
      <c r="H97" s="417">
        <v>4050</v>
      </c>
      <c r="I97" s="1" t="str">
        <f>CONCATENATE(H97,"-",J16,", ",J19)</f>
        <v>4050-fényes fekete,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6000-fényes fekete, Elegant II</v>
      </c>
      <c r="D98" s="418">
        <v>405406</v>
      </c>
      <c r="E98" s="419" t="str">
        <f>+VLOOKUP(A98,cennik!A:G,2,FALSE)</f>
        <v>SEVROLL Elegant II alsó vezetés 6m fényes fekete</v>
      </c>
      <c r="F98" s="419" t="str">
        <f>+VLOOKUP(A98,cennik!A:B,2,FALSE)</f>
        <v>SEVROLL Elegant II alsó vezetés 6m fényes fekete</v>
      </c>
      <c r="G98" s="417"/>
      <c r="H98" s="417">
        <v>6000</v>
      </c>
      <c r="I98" s="1" t="str">
        <f>CONCATENATE(H98,"-",J16,", ",J19)</f>
        <v>6000-fényes fekete,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1700-matt feket, Elegant II</v>
      </c>
      <c r="D99" s="417">
        <v>422007</v>
      </c>
      <c r="E99" s="419" t="str">
        <f>+VLOOKUP(A99,cennik!A:G,2,FALSE)</f>
        <v>SEVROLL 05308 Elegant II alsó vezetés 1,7m matt fekete</v>
      </c>
      <c r="F99" s="419" t="str">
        <f>+VLOOKUP(A99,cennik!A:B,2,FALSE)</f>
        <v>SEVROLL 05308 Elegant II alsó vezetés 1,7m matt fekete</v>
      </c>
      <c r="G99" s="417"/>
      <c r="H99" s="417">
        <v>1700</v>
      </c>
      <c r="I99" s="1" t="str">
        <f>CONCATENATE(H99,"-",J17,", ",J19)</f>
        <v>1700-matt feket,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2350-matt feket, Elegant II</v>
      </c>
      <c r="D100" s="417">
        <v>409678</v>
      </c>
      <c r="E100" s="419" t="str">
        <f>+VLOOKUP(A100,cennik!A:G,2,FALSE)</f>
        <v>SEVROLL 05309  Elegant II alsó vezetés 2,35m matt fekete</v>
      </c>
      <c r="F100" s="419" t="str">
        <f>+VLOOKUP(A100,cennik!A:B,2,FALSE)</f>
        <v>SEVROLL 05309  Elegant II alsó vezetés 2,35m matt fekete</v>
      </c>
      <c r="G100" s="417"/>
      <c r="H100" s="417">
        <v>2350</v>
      </c>
      <c r="I100" s="1" t="str">
        <f>CONCATENATE(H100,"-",J17,", ",J19)</f>
        <v>2350-matt feket,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3000-matt feket, Elegant II</v>
      </c>
      <c r="D101" s="417">
        <v>412231</v>
      </c>
      <c r="E101" s="419" t="str">
        <f>+VLOOKUP(A101,cennik!A:G,2,FALSE)</f>
        <v>SEVROLL 05310 Elegant II alsó vezetés 3m matt fekete</v>
      </c>
      <c r="F101" s="419" t="str">
        <f>+VLOOKUP(A101,cennik!A:B,2,FALSE)</f>
        <v>SEVROLL 05310 Elegant II alsó vezetés 3m matt fekete</v>
      </c>
      <c r="G101" s="417"/>
      <c r="H101" s="417">
        <v>3000</v>
      </c>
      <c r="I101" s="1" t="str">
        <f>CONCATENATE(H101,"-",J17,", ",J19)</f>
        <v>3000-matt feket,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4050-matt feket, Elegant II</v>
      </c>
      <c r="D102" s="417">
        <v>409676</v>
      </c>
      <c r="E102" s="419" t="str">
        <f>+VLOOKUP(A102,cennik!A:G,2,FALSE)</f>
        <v>SEVROLL 05311 Elegant II alsó vezetés 4,05m matt fekete</v>
      </c>
      <c r="F102" s="419" t="str">
        <f>+VLOOKUP(A102,cennik!A:B,2,FALSE)</f>
        <v>SEVROLL 05311 Elegant II alsó vezetés 4,05m matt fekete</v>
      </c>
      <c r="G102" s="417"/>
      <c r="H102" s="417">
        <v>4050</v>
      </c>
      <c r="I102" s="1" t="str">
        <f>CONCATENATE(H102,"-",J17,", ",J19)</f>
        <v>4050-matt feket,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6000-matt feket, Elegant II</v>
      </c>
      <c r="D103" s="418">
        <v>452743</v>
      </c>
      <c r="E103" s="419" t="str">
        <f>+VLOOKUP(A103,cennik!A:G,2,FALSE)</f>
        <v>SEVROLL Elegant II alsó vezetés 6m matt fekete</v>
      </c>
      <c r="F103" s="419" t="str">
        <f>+VLOOKUP(A103,cennik!A:B,2,FALSE)</f>
        <v>SEVROLL Elegant II alsó vezetés 6m matt fekete</v>
      </c>
      <c r="G103" s="417"/>
      <c r="H103" s="417">
        <v>6000</v>
      </c>
      <c r="I103" s="1" t="str">
        <f>CONCATENATE(H103,"-",J17,", ",J19)</f>
        <v>6000-matt feket,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1700-fekete szerkezeti, Elegant II</v>
      </c>
      <c r="D104" s="196">
        <v>526506</v>
      </c>
      <c r="E104" s="419" t="str">
        <f>+VLOOKUP(A104,cennik!A:G,2,FALSE)</f>
        <v>SEVROLL 06269 Elegant II alsó vezetés 1,7m  fekete szerkezeti</v>
      </c>
      <c r="F104" s="419"/>
      <c r="G104" s="417"/>
      <c r="H104" s="417">
        <v>1700</v>
      </c>
      <c r="I104" s="1" t="str">
        <f>CONCATENATE(H104,"-",J22,", ",J19)</f>
        <v>1700-fekete szerkezeti,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2350-fekete szerkezeti, Elegant II</v>
      </c>
      <c r="D105" s="196">
        <v>526509</v>
      </c>
      <c r="E105" s="419" t="str">
        <f>+VLOOKUP(A105,cennik!A:G,2,FALSE)</f>
        <v>SEVROLL 06270  Elegant II alsó vezetés 2,35m fekete szerkezeti</v>
      </c>
      <c r="F105" s="419"/>
      <c r="G105" s="417"/>
      <c r="H105" s="417">
        <v>2350</v>
      </c>
      <c r="I105" s="1" t="str">
        <f>CONCATENATE(H105,"-",J22,", ",J19)</f>
        <v>2350-fekete szerkezeti,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3000-fekete szerkezeti, Elegant II</v>
      </c>
      <c r="D106" s="196">
        <v>526510</v>
      </c>
      <c r="E106" s="419" t="str">
        <f>+VLOOKUP(A106,cennik!A:G,2,FALSE)</f>
        <v>SEVROLL 06271 Elegant II alsó vezetés 3m fekete szerkezeti</v>
      </c>
      <c r="F106" s="419"/>
      <c r="G106" s="417"/>
      <c r="H106" s="417">
        <v>3000</v>
      </c>
      <c r="I106" s="1" t="str">
        <f>CONCATENATE(H106,"-",J22,", ",J19)</f>
        <v>3000-fekete szerkezeti,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4050-fekete szerkezeti, Elegant II</v>
      </c>
      <c r="D107" s="196">
        <v>526511</v>
      </c>
      <c r="E107" s="419" t="str">
        <f>+VLOOKUP(A107,cennik!A:G,2,FALSE)</f>
        <v>SEVROLL 06272 Elegant II alsó vezetés 4,05m fekete szerkezeti</v>
      </c>
      <c r="F107" s="419"/>
      <c r="G107" s="417"/>
      <c r="H107" s="417">
        <v>4050</v>
      </c>
      <c r="I107" s="1" t="str">
        <f>CONCATENATE(H107,"-",J22,", ",J19)</f>
        <v>4050-fekete szerkezeti,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6000-fekete szerkezeti, Elegant II</v>
      </c>
      <c r="D108" s="196">
        <v>526512</v>
      </c>
      <c r="E108" s="419" t="str">
        <f>+VLOOKUP(A108,cennik!A:G,2,FALSE)</f>
        <v>SEVROLL 06128 Elegant II alsó vezetés 6m fekete szerkezeti</v>
      </c>
      <c r="F108" s="419"/>
      <c r="G108" s="417"/>
      <c r="H108" s="417">
        <v>6000</v>
      </c>
      <c r="I108" s="1" t="str">
        <f>CONCATENATE(H108,"-",J22,", ",J19)</f>
        <v>6000-fekete szerkezeti,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3000-matt fehér,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3000-matt fehér,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1700-matt fehér,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1700-matt fehér,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2350-matt fehér,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2350-matt fehér,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4050-matt fehér,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4050-matt fehér,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6000-matt fehér,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6000-matt fehér,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1700-ezüst, Elegant II</v>
      </c>
      <c r="D115" s="49">
        <v>318657</v>
      </c>
      <c r="E115" s="48" t="str">
        <f>+VLOOKUP(A115,cennik!A:G,2,FALSE)</f>
        <v>SEVROLL 04302 takaró profil Elegant II 1,7m ezüst</v>
      </c>
      <c r="F115" s="48" t="str">
        <f>+VLOOKUP(A115,cennik!A:B,2,FALSE)</f>
        <v>SEVROLL 04302 takaró profil Elegant II 1,7m ezüst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1700-ezüst,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2350-ezüst, Elegant II</v>
      </c>
      <c r="D116" s="49">
        <v>318660</v>
      </c>
      <c r="E116" s="48" t="str">
        <f>+VLOOKUP(A116,cennik!A:G,2,FALSE)</f>
        <v>SEVROLL  04303 takaró profil Elegant II 2,35m ezüst</v>
      </c>
      <c r="F116" s="48" t="str">
        <f>+VLOOKUP(A116,cennik!A:B,2,FALSE)</f>
        <v>SEVROLL  04303 takaró profil Elegant II 2,35m ezüst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2350-ezüst,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3000-ezüst, Elegant II</v>
      </c>
      <c r="D117" s="49">
        <v>345408</v>
      </c>
      <c r="E117" s="48" t="str">
        <f>+VLOOKUP(A117,cennik!A:G,2,FALSE)</f>
        <v>SEVROLL 04304 takaró profil Elegant II 3m ezüst</v>
      </c>
      <c r="F117" s="48" t="str">
        <f>+VLOOKUP(A117,cennik!A:B,2,FALSE)</f>
        <v>SEVROLL 04304 takaró profil Elegant II 3m ezüst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3000-ezüst,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4050-ezüst, Elegant II</v>
      </c>
      <c r="D118" s="49">
        <v>345776</v>
      </c>
      <c r="E118" s="48" t="str">
        <f>+VLOOKUP(A118,cennik!A:G,2,FALSE)</f>
        <v>SEVROLL 04305  takaró profil Elegant II 4,05m ezüst</v>
      </c>
      <c r="F118" s="48" t="str">
        <f>+VLOOKUP(A118,cennik!A:B,2,FALSE)</f>
        <v>SEVROLL 04305  takaró profil Elegant II 4,05m ezüst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4050-ezüst,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6000-ezüst, Elegant II</v>
      </c>
      <c r="D119" s="168">
        <v>346118</v>
      </c>
      <c r="E119" s="48" t="str">
        <f>+VLOOKUP(A119,cennik!A:G,2,FALSE)</f>
        <v>SEVROLL  04307 takaró profil Elegant II 6m ezüst</v>
      </c>
      <c r="F119" s="48" t="str">
        <f>+VLOOKUP(A119,cennik!A:B,2,FALSE)</f>
        <v>SEVROLL  04307 takaró profil Elegant II 6m ezüst</v>
      </c>
      <c r="H119" s="1">
        <v>6000</v>
      </c>
      <c r="I119" s="1" t="str">
        <f>CONCATENATE(H119,"-",J4,", ",J19)</f>
        <v>6000-ezüst,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 04296  takaró profil Elegant II 1,7m oliva</v>
      </c>
      <c r="F120" s="48" t="str">
        <f>+VLOOKUP(A120,cennik!A:B,2,FALSE)</f>
        <v>SEVROLL  04296  takaró profil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 04297  takaró profil Elegant II 2,35m oliva</v>
      </c>
      <c r="F121" s="48" t="str">
        <f>+VLOOKUP(A121,cennik!A:B,2,FALSE)</f>
        <v>SEVROLL  04297  takaró profil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 04298  takaró profil Elegant II 3m oliva</v>
      </c>
      <c r="F122" s="48" t="str">
        <f>+VLOOKUP(A122,cennik!A:B,2,FALSE)</f>
        <v>SEVROLL  04298  takaró profil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 04299  takaró profil Elegant II 4,05m oliva</v>
      </c>
      <c r="F123" s="48" t="str">
        <f>+VLOOKUP(A123,cennik!A:B,2,FALSE)</f>
        <v>SEVROLL  04299  takaró profil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takaró profil Elegant II 6m oliva</v>
      </c>
      <c r="F124" s="48" t="str">
        <f>+VLOOKUP(A124,cennik!A:B,2,FALSE)</f>
        <v>SEVROLL 04301 takaró profil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1700-kefélt oliva, Elegant II</v>
      </c>
      <c r="D125" s="49">
        <v>345401</v>
      </c>
      <c r="E125" s="48" t="str">
        <f>+VLOOKUP(A125,cennik!A:G,2,FALSE)</f>
        <v>SEVROLL 04348-Y takaró profil Elegant II 1,7m oliva szálcsiszolt</v>
      </c>
      <c r="F125" s="48" t="str">
        <f>+VLOOKUP(A125,cennik!A:B,2,FALSE)</f>
        <v>SEVROLL 04348-Y takaró profil Elegant II 1,7m oliva szálcsiszolt</v>
      </c>
      <c r="H125" s="1">
        <v>1700</v>
      </c>
      <c r="I125" s="1" t="str">
        <f>CONCATENATE(H125,"-",J7,", ",J19)</f>
        <v>1700-kefélt oliva,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2350-kefélt oliva, Elegant II</v>
      </c>
      <c r="D126" s="49">
        <v>345404</v>
      </c>
      <c r="E126" s="48" t="str">
        <f>+VLOOKUP(A126,cennik!A:G,2,FALSE)</f>
        <v>SEVROLL  04349-Y  takaró profil Elegant II 2,35m oliva szálcsiszolt</v>
      </c>
      <c r="F126" s="48" t="str">
        <f>+VLOOKUP(A126,cennik!A:B,2,FALSE)</f>
        <v>SEVROLL  04349-Y  takaró profil Elegant II 2,35m oliva szálcsiszolt</v>
      </c>
      <c r="H126" s="1">
        <v>2350</v>
      </c>
      <c r="I126" s="1" t="str">
        <f>CONCATENATE(H126,"-",J7,", ",J19)</f>
        <v>2350-kefélt oliva,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3000-kefélt oliva, Elegant II</v>
      </c>
      <c r="D127" s="49">
        <v>345410</v>
      </c>
      <c r="E127" s="48" t="str">
        <f>+VLOOKUP(A127,cennik!A:G,2,FALSE)</f>
        <v>SEVROLL 04350-Y  takaró profil Elegant II 3m oliva szálcsiszolt</v>
      </c>
      <c r="F127" s="48" t="str">
        <f>+VLOOKUP(A127,cennik!A:B,2,FALSE)</f>
        <v>SEVROLL 04350-Y  takaró profil Elegant II 3m oliva szálcsiszolt</v>
      </c>
      <c r="H127" s="1">
        <v>3000</v>
      </c>
      <c r="I127" s="1" t="str">
        <f>CONCATENATE(H127,"-",J7,", ",J19)</f>
        <v>3000-kefélt oliva,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4050-kefélt oliva, Elegant II</v>
      </c>
      <c r="D128" s="49">
        <v>346114</v>
      </c>
      <c r="E128" s="48" t="str">
        <f>+VLOOKUP(A128,cennik!A:G,2,FALSE)</f>
        <v>SEVROLL 04351-Y takaró profil Elegant II 4,05m oliva szálcsiszolt</v>
      </c>
      <c r="F128" s="48" t="str">
        <f>+VLOOKUP(A128,cennik!A:B,2,FALSE)</f>
        <v>SEVROLL 04351-Y takaró profil Elegant II 4,05m oliva szálcsiszolt</v>
      </c>
      <c r="H128" s="1">
        <v>4050</v>
      </c>
      <c r="I128" s="1" t="str">
        <f>CONCATENATE(H128,"-",J7,", ",J19)</f>
        <v>4050-kefélt oliva,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6000-kefélt oliva, Elegant II</v>
      </c>
      <c r="D129" s="49">
        <v>346120</v>
      </c>
      <c r="E129" s="48" t="str">
        <f>+VLOOKUP(A129,cennik!A:G,2,FALSE)</f>
        <v>SEVROLL takaró profil Elegant II 6m oliva szálcsiszolt</v>
      </c>
      <c r="F129" s="48" t="str">
        <f>+VLOOKUP(A129,cennik!A:B,2,FALSE)</f>
        <v>SEVROLL takaró profil Elegant II 6m oliva szálcsiszolt</v>
      </c>
      <c r="H129" s="1">
        <v>6000</v>
      </c>
      <c r="I129" s="1" t="str">
        <f>CONCATENATE(H129,"-",J7,", ",J19)</f>
        <v>6000-kefélt oliva,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1700-szálcsi.oliva sö., Elegant II</v>
      </c>
      <c r="D130" s="49">
        <v>345402</v>
      </c>
      <c r="E130" s="48" t="str">
        <f>+VLOOKUP(A130,cennik!A:G,2,FALSE)</f>
        <v>SEVROLL takaró profil Elegant II 1,7m oliva sötét szálcsiszolt</v>
      </c>
      <c r="F130" s="48" t="str">
        <f>+VLOOKUP(A130,cennik!A:B,2,FALSE)</f>
        <v>SEVROLL takaró profil Elegant II 1,7m oliva sötét szálcsiszolt</v>
      </c>
      <c r="H130" s="1">
        <v>1700</v>
      </c>
      <c r="I130" s="1" t="str">
        <f>CONCATENATE(H130,"-",J8,", ",J19)</f>
        <v>1700-szálcsi.oliva sö.,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2350-szálcsi.oliva sö., Elegant II</v>
      </c>
      <c r="D131" s="49">
        <v>345405</v>
      </c>
      <c r="E131" s="48" t="str">
        <f>+VLOOKUP(A131,cennik!A:G,2,FALSE)</f>
        <v>SEVROLL takaró profil Elegant II 2,35m oliva sötét szálcsiszolt</v>
      </c>
      <c r="F131" s="48" t="str">
        <f>+VLOOKUP(A131,cennik!A:B,2,FALSE)</f>
        <v>SEVROLL takaró profil Elegant II 2,35m oliva sötét szálcsiszolt</v>
      </c>
      <c r="H131" s="1">
        <v>2350</v>
      </c>
      <c r="I131" s="1" t="str">
        <f>CONCATENATE(H131,"-",J8,", ",J19)</f>
        <v>2350-szálcsi.oliva sö.,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3000-szálcsi.oliva sö., Elegant II</v>
      </c>
      <c r="D132" s="49">
        <v>345411</v>
      </c>
      <c r="E132" s="48" t="str">
        <f>+VLOOKUP(A132,cennik!A:G,2,FALSE)</f>
        <v>SEVROLL takaró profil Elegant II 3m oliva sötét szálcsiszolt</v>
      </c>
      <c r="F132" s="48" t="str">
        <f>+VLOOKUP(A132,cennik!A:B,2,FALSE)</f>
        <v>SEVROLL takaró profil Elegant II 3m oliva sötét szálcsiszolt</v>
      </c>
      <c r="H132" s="1">
        <v>3000</v>
      </c>
      <c r="I132" s="1" t="str">
        <f>CONCATENATE(H132,"-",J8,", ",J19)</f>
        <v>3000-szálcsi.oliva sö.,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4050-szálcsi.oliva sö., Elegant II</v>
      </c>
      <c r="D133" s="49">
        <v>346115</v>
      </c>
      <c r="E133" s="48" t="str">
        <f>+VLOOKUP(A133,cennik!A:G,2,FALSE)</f>
        <v>SEVROLL takaró profil Elegant II 4,05m oliva sötét szálcsiszolt</v>
      </c>
      <c r="F133" s="48" t="str">
        <f>+VLOOKUP(A133,cennik!A:B,2,FALSE)</f>
        <v>SEVROLL takaró profil Elegant II 4,05m oliva sötét szálcsiszolt</v>
      </c>
      <c r="H133" s="1">
        <v>4050</v>
      </c>
      <c r="I133" s="1" t="str">
        <f>CONCATENATE(H133,"-",J8,", ",J19)</f>
        <v>4050-szálcsi.oliva sö.,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6000-szálcsi.oliva sö., Elegant II</v>
      </c>
      <c r="D134" s="49">
        <v>346121</v>
      </c>
      <c r="E134" s="48" t="str">
        <f>+VLOOKUP(A134,cennik!A:G,2,FALSE)</f>
        <v>SEVROLL takaró profil Elegant II 6m oliva sötét szálcsiszolt</v>
      </c>
      <c r="F134" s="48" t="str">
        <f>+VLOOKUP(A134,cennik!A:B,2,FALSE)</f>
        <v>SEVROLL takaró profil Elegant II 6m oliva sötét szálcsiszolt</v>
      </c>
      <c r="H134" s="1">
        <v>6000</v>
      </c>
      <c r="I134" s="1" t="str">
        <f>CONCATENATE(H134,"-",J8,", ",J19)</f>
        <v>6000-szálcsi.oliva sö.,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1700-szálcsi.fekete, Elegant II</v>
      </c>
      <c r="D135" s="49">
        <v>345403</v>
      </c>
      <c r="E135" s="48" t="str">
        <f>+VLOOKUP(A135,cennik!A:G,2,FALSE)</f>
        <v>SEVROLL 04353 takaró profil Elegant II 1,7m fekete szálcsiszolt</v>
      </c>
      <c r="F135" s="48" t="str">
        <f>+VLOOKUP(A135,cennik!A:B,2,FALSE)</f>
        <v>SEVROLL 04353 takaró profil Elegant II 1,7m fekete szálcsiszolt</v>
      </c>
      <c r="H135" s="1">
        <v>1700</v>
      </c>
      <c r="I135" s="1" t="str">
        <f>CONCATENATE(H135,"-",J9,", ",J19)</f>
        <v>1700-szálcsi.fekete,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2350-szálcsi.fekete, Elegant II</v>
      </c>
      <c r="D136" s="49">
        <v>345407</v>
      </c>
      <c r="E136" s="48" t="str">
        <f>+VLOOKUP(A136,cennik!A:G,2,FALSE)</f>
        <v>SEVROLL 04354 takaró profil Elegant II 2,35m fekete szálcsiszolt</v>
      </c>
      <c r="F136" s="48" t="str">
        <f>+VLOOKUP(A136,cennik!A:B,2,FALSE)</f>
        <v>SEVROLL 04354 takaró profil Elegant II 2,35m fekete szálcsiszolt</v>
      </c>
      <c r="H136" s="1">
        <v>2350</v>
      </c>
      <c r="I136" s="1" t="str">
        <f>CONCATENATE(H136,"-",J9,", ",J19)</f>
        <v>2350-szálcsi.fekete,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3000-szálcsi.fekete, Elegant II</v>
      </c>
      <c r="D137" s="49">
        <v>345412</v>
      </c>
      <c r="E137" s="48" t="str">
        <f>+VLOOKUP(A137,cennik!A:G,2,FALSE)</f>
        <v>SEVROLL  04355 takaró profil Elegant II 3m fekete szálcsiszolt</v>
      </c>
      <c r="F137" s="48" t="str">
        <f>+VLOOKUP(A137,cennik!A:B,2,FALSE)</f>
        <v>SEVROLL  04355 takaró profil Elegant II 3m fekete szálcsiszolt</v>
      </c>
      <c r="H137" s="1">
        <v>3000</v>
      </c>
      <c r="I137" s="1" t="str">
        <f>CONCATENATE(H137,"-",J9,", ",J19)</f>
        <v>3000-szálcsi.fekete,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4050-szálcsi.fekete, Elegant II</v>
      </c>
      <c r="D138" s="49">
        <v>346116</v>
      </c>
      <c r="E138" s="48" t="str">
        <f>+VLOOKUP(A138,cennik!A:G,2,FALSE)</f>
        <v>SEVROLL 04356  takaró profil Elegant II 4,05m fekete szálcsiszolt</v>
      </c>
      <c r="F138" s="48" t="str">
        <f>+VLOOKUP(A138,cennik!A:B,2,FALSE)</f>
        <v>SEVROLL 04356  takaró profil Elegant II 4,05m fekete szálcsiszolt</v>
      </c>
      <c r="H138" s="1">
        <v>4050</v>
      </c>
      <c r="I138" s="1" t="str">
        <f>CONCATENATE(H138,"-",J9,", ",J19)</f>
        <v>4050-szálcsi.fekete,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6000-szálcsi.fekete, Elegant II</v>
      </c>
      <c r="D139" s="49">
        <v>346122</v>
      </c>
      <c r="E139" s="48" t="str">
        <f>+VLOOKUP(A139,cennik!A:G,2,FALSE)</f>
        <v>SEVROLL takaró profil Elegant II 6m fekete szálcsiszolt</v>
      </c>
      <c r="F139" s="48" t="str">
        <f>+VLOOKUP(A139,cennik!A:B,2,FALSE)</f>
        <v>SEVROLL takaró profil Elegant II 6m fekete szálcsiszolt</v>
      </c>
      <c r="H139" s="1">
        <v>6000</v>
      </c>
      <c r="I139" s="1" t="str">
        <f>CONCATENATE(H139,"-",J9,", ",J19)</f>
        <v>6000-szálcsi.fekete,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1700-fehér fényes, Elegant II</v>
      </c>
      <c r="D140" s="49">
        <v>318656</v>
      </c>
      <c r="E140" s="48" t="str">
        <f>+VLOOKUP(A140,cennik!A:G,2,FALSE)</f>
        <v>SEVROLL 04313 takaró profil Elegant II 1,7m fényes fehér</v>
      </c>
      <c r="F140" s="48" t="str">
        <f>+VLOOKUP(A140,cennik!A:B,2,FALSE)</f>
        <v>SEVROLL 04313 takaró profil Elegant II 1,7m fényes fehér</v>
      </c>
      <c r="H140" s="1">
        <v>1700</v>
      </c>
      <c r="I140" s="1" t="str">
        <f>CONCATENATE(H140,"-",J15,", ",J19)</f>
        <v>1700-fehér fényes,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2350-fehér fényes, Elegant II</v>
      </c>
      <c r="D141" s="49">
        <v>318659</v>
      </c>
      <c r="E141" s="48" t="str">
        <f>+VLOOKUP(A141,cennik!A:G,2,FALSE)</f>
        <v>SEVROLL  04314  takaró profil Elegant II 2,35m fényes fehér</v>
      </c>
      <c r="F141" s="48" t="str">
        <f>+VLOOKUP(A141,cennik!A:B,2,FALSE)</f>
        <v>SEVROLL  04314  takaró profil Elegant II 2,35m fényes fehér</v>
      </c>
      <c r="H141" s="1">
        <v>2350</v>
      </c>
      <c r="I141" s="1" t="str">
        <f>CONCATENATE(H141,"-",J15,", ",J19)</f>
        <v>2350-fehér fényes,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3000-fehér fényes, Elegant II</v>
      </c>
      <c r="D142" s="49">
        <v>345413</v>
      </c>
      <c r="E142" s="48" t="str">
        <f>+VLOOKUP(A142,cennik!A:G,2,FALSE)</f>
        <v>SEVROLL 04315  takaró profil Elegant II 3m fényes fehér</v>
      </c>
      <c r="F142" s="48" t="str">
        <f>+VLOOKUP(A142,cennik!A:B,2,FALSE)</f>
        <v>SEVROLL 04315  takaró profil Elegant II 3m fényes fehér</v>
      </c>
      <c r="H142" s="1">
        <v>3000</v>
      </c>
      <c r="I142" s="1" t="str">
        <f>CONCATENATE(H142,"-",J15,", ",J19)</f>
        <v>3000-fehér fényes,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4050-fehér fényes, Elegant II</v>
      </c>
      <c r="D143" s="49">
        <v>346117</v>
      </c>
      <c r="E143" s="48" t="str">
        <f>+VLOOKUP(A143,cennik!A:G,2,FALSE)</f>
        <v>SEVROLL 04316 takaró profil Elegant II 4,05m fényes fehér</v>
      </c>
      <c r="F143" s="48" t="str">
        <f>+VLOOKUP(A143,cennik!A:B,2,FALSE)</f>
        <v>SEVROLL 04316 takaró profil Elegant II 4,05m fényes fehér</v>
      </c>
      <c r="H143" s="1">
        <v>4050</v>
      </c>
      <c r="I143" s="1" t="str">
        <f>CONCATENATE(H143,"-",J15,", ",J19)</f>
        <v>4050-fehér fényes,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6000-fehér fényes, Elegant II</v>
      </c>
      <c r="D144" s="49">
        <v>346123</v>
      </c>
      <c r="E144" s="48" t="str">
        <f>+VLOOKUP(A144,cennik!A:G,2,FALSE)</f>
        <v>SEVROLL takaró profil Elegant II 6m fényes fehér</v>
      </c>
      <c r="F144" s="48" t="str">
        <f>+VLOOKUP(A144,cennik!A:B,2,FALSE)</f>
        <v>SEVROLL takaró profil Elegant II 6m fényes fehér</v>
      </c>
      <c r="H144" s="1">
        <v>6000</v>
      </c>
      <c r="I144" s="1" t="str">
        <f>CONCATENATE(H144,"-",J15,", ",J19)</f>
        <v>6000-fehér fényes,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1700-arany/sárgaréz, Elegant II</v>
      </c>
      <c r="D145" s="49">
        <v>542674</v>
      </c>
      <c r="E145" s="48" t="str">
        <f>+VLOOKUP(A145,cennik!A:G,2,FALSE)</f>
        <v>SEVROLL 06800 Maszk Elegant II 1,7m arany/sárgaréz</v>
      </c>
      <c r="F145" s="48" t="str">
        <f>+VLOOKUP(A145,cennik!A:B,2,FALSE)</f>
        <v>SEVROLL 06800 Maszk Elegant II 1,7m arany/sárgaréz</v>
      </c>
      <c r="H145" s="1" t="s">
        <v>464</v>
      </c>
      <c r="I145" s="1" t="str">
        <f>CONCATENATE(H145,"-",J5,", ",J19)</f>
        <v>1700-arany/sárgaréz,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2350-arany/sárgaréz, Elegant II</v>
      </c>
      <c r="D146" s="49">
        <v>542675</v>
      </c>
      <c r="E146" s="48" t="str">
        <f>+VLOOKUP(A146,cennik!A:G,2,FALSE)</f>
        <v>SEVROLL 06801 takaró profil Elegant II 2,35m arany/sárgaréz</v>
      </c>
      <c r="F146" s="48" t="str">
        <f>+VLOOKUP(A146,cennik!A:B,2,FALSE)</f>
        <v>SEVROLL 06801 takaró profil Elegant II 2,35m arany/sárgaréz</v>
      </c>
      <c r="H146" s="1" t="s">
        <v>465</v>
      </c>
      <c r="I146" s="1" t="str">
        <f>CONCATENATE(H146,"-",J5,", ",J19)</f>
        <v>2350-arany/sárgaréz,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3000-arany/sárgaréz, Elegant II</v>
      </c>
      <c r="D147" s="49">
        <v>542584</v>
      </c>
      <c r="E147" s="48" t="str">
        <f>+VLOOKUP(A147,cennik!A:G,2,FALSE)</f>
        <v>SEVROLL 06802 takaró profil Elegant II 3m arany/sárgaréz</v>
      </c>
      <c r="F147" s="48" t="str">
        <f>+VLOOKUP(A147,cennik!A:B,2,FALSE)</f>
        <v>SEVROLL 06802 takaró profil Elegant II 3m arany/sárgaréz</v>
      </c>
      <c r="H147" s="1" t="s">
        <v>466</v>
      </c>
      <c r="I147" s="1" t="str">
        <f>CONCATENATE(H147,"-",J5,", ",J19)</f>
        <v>3000-arany/sárgaréz,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4050-arany/sárgaréz, Elegant II</v>
      </c>
      <c r="D148" s="49">
        <v>542590</v>
      </c>
      <c r="E148" s="48" t="str">
        <f>+VLOOKUP(A148,cennik!A:G,2,FALSE)</f>
        <v>SEVROLL takaró profil Elegant II 4,05m arany/sárgaréz</v>
      </c>
      <c r="F148" s="48" t="str">
        <f>+VLOOKUP(A148,cennik!A:B,2,FALSE)</f>
        <v>SEVROLL takaró profil Elegant II 4,05m arany/sárgaréz</v>
      </c>
      <c r="H148" s="1" t="s">
        <v>467</v>
      </c>
      <c r="I148" s="1" t="str">
        <f>CONCATENATE(H148,"-",J5,", ",J19)</f>
        <v>4050-arany/sárgaréz,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6000-arany/sárgaréz, Elegant II</v>
      </c>
      <c r="D149" s="49">
        <v>542676</v>
      </c>
      <c r="E149" s="48" t="str">
        <f>+VLOOKUP(A149,cennik!A:G,2,FALSE)</f>
        <v>SEVROLL 06804 Maszk Elegant II 6m arany/sárgaréz</v>
      </c>
      <c r="F149" s="48" t="str">
        <f>+VLOOKUP(A149,cennik!A:B,2,FALSE)</f>
        <v>SEVROLL 06804 Maszk Elegant II 6m arany/sárgaréz</v>
      </c>
      <c r="H149" s="1">
        <v>6000</v>
      </c>
      <c r="I149" s="1" t="str">
        <f>CONCATENATE(H149,"-",J5,", ",J19)</f>
        <v>6000-arany/sárgaréz,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1700-ezüst,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1700-ezüst,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2350-ezüst,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2350-ezüst,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3000-ezüst,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3000-ezüst,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4050-ezüst,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4050-ezüst,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6000-ezüst,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6000-ezüst,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1700-arany/sárgaréz,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1700-arany/sárgaréz,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2350-arany/sárgaréz,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2350-arany/sárgaréz,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3000-arany/sárgaréz,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3000-arany/sárgaréz,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4050-arany/sárgaréz,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4050-arany/sárgaréz,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6000-arany/sárgaréz,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6000-arany/sárgaréz,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1700-kefélt oliva,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1700-kefélt oliva,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2350-kefélt oliva,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2350-kefélt oliva,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3000-kefélt oliva,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3000-kefélt oliva,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4050-kefélt oliva,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4050-kefélt oliva,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6000-kefélt oliva,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6000-kefélt oliva,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1700-szálcsi.oliva sö.,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1700-szálcsi.oliva sö.,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2350-szálcsi.oliva sö.,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2350-szálcsi.oliva sö.,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3000-szálcsi.oliva sö.,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3000-szálcsi.oliva sö.,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4050-szálcsi.oliva sö.,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4050-szálcsi.oliva sö.,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6000-szálcsi.oliva sö.,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6000-szálcsi.oliva sö.,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1700-szálcsi.fekete,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1700-szálcsi.fekete,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2350-szálcsi.fekete,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2350-szálcsi.fekete,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3000-szálcsi.fekete,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3000-szálcsi.fekete,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4050-szálcsi.fekete,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4050-szálcsi.fekete,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6000-szálcsi.fekete,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6000-szálcsi.fekete,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1700-fehér fényes,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1700-fehér fényes,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2350-fehér fényes,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2350-fehér fényes,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3000-fehér fényes,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3000-fehér fényes,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4050-fehér fényes,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4050-fehér fényes,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6000-fehér fényes,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6000-fehér fényes,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1700-fényes fekete, Elegant II</v>
      </c>
      <c r="D185" s="418">
        <v>405427</v>
      </c>
      <c r="E185" s="419" t="str">
        <f>+VLOOKUP(A185,cennik!A:G,2,FALSE)</f>
        <v>SEVROLL 05167 takaró profil Elegant II 1,7m fényes fekete</v>
      </c>
      <c r="F185" s="419" t="str">
        <f>+VLOOKUP(A185,cennik!A:B,2,FALSE)</f>
        <v>SEVROLL 05167 takaró profil Elegant II 1,7m fényes fekete</v>
      </c>
      <c r="G185" s="417"/>
      <c r="H185" s="417">
        <v>1700</v>
      </c>
      <c r="I185" s="1" t="str">
        <f>CONCATENATE(H185,"-",J16,", ",J19)</f>
        <v>1700-fényes fekete,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2350-fényes fekete, Elegant II</v>
      </c>
      <c r="D186" s="418">
        <v>398553</v>
      </c>
      <c r="E186" s="419" t="str">
        <f>+VLOOKUP(A186,cennik!A:G,2,FALSE)</f>
        <v>SEVROLL05168  takaró profil Elegant II 2,35m fényes fekete</v>
      </c>
      <c r="F186" s="419" t="str">
        <f>+VLOOKUP(A186,cennik!A:B,2,FALSE)</f>
        <v>SEVROLL05168  takaró profil Elegant II 2,35m fényes fekete</v>
      </c>
      <c r="G186" s="417"/>
      <c r="H186" s="417">
        <v>2350</v>
      </c>
      <c r="I186" s="1" t="str">
        <f>CONCATENATE(H186,"-",J16,", ",J19)</f>
        <v>2350-fényes fekete,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3000-fényes fekete, Elegant II</v>
      </c>
      <c r="D187" s="418">
        <v>405428</v>
      </c>
      <c r="E187" s="419" t="str">
        <f>+VLOOKUP(A187,cennik!A:G,2,FALSE)</f>
        <v>SEVROLL05169  takaró profil Elegant II 3m fényes fekete</v>
      </c>
      <c r="F187" s="419" t="str">
        <f>+VLOOKUP(A187,cennik!A:B,2,FALSE)</f>
        <v>SEVROLL05169  takaró profil Elegant II 3m fényes fekete</v>
      </c>
      <c r="G187" s="417"/>
      <c r="H187" s="417">
        <v>3000</v>
      </c>
      <c r="I187" s="1" t="str">
        <f>CONCATENATE(H187,"-",J16,", ",J19)</f>
        <v>3000-fényes fekete,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4050-fényes fekete, Elegant II</v>
      </c>
      <c r="D188" s="418">
        <v>405429</v>
      </c>
      <c r="E188" s="419" t="str">
        <f>+VLOOKUP(A188,cennik!A:G,2,FALSE)</f>
        <v>SEVROLL05170 takaró profil Elegant II 4,05m fényes fekete</v>
      </c>
      <c r="F188" s="419" t="str">
        <f>+VLOOKUP(A188,cennik!A:B,2,FALSE)</f>
        <v>SEVROLL05170 takaró profil Elegant II 4,05m fényes fekete</v>
      </c>
      <c r="G188" s="417"/>
      <c r="H188" s="417">
        <v>4050</v>
      </c>
      <c r="I188" s="1" t="str">
        <f>CONCATENATE(H188,"-",J16,", ",J19)</f>
        <v>4050-fényes fekete,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6000-fényes fekete, Elegant II</v>
      </c>
      <c r="D189" s="418">
        <v>405430</v>
      </c>
      <c r="E189" s="419" t="str">
        <f>+VLOOKUP(A189,cennik!A:G,2,FALSE)</f>
        <v>SEVROLL takaró profil Elegant II 6m fényes fekete</v>
      </c>
      <c r="F189" s="419" t="str">
        <f>+VLOOKUP(A189,cennik!A:B,2,FALSE)</f>
        <v>SEVROLL takaró profil Elegant II 6m fényes fekete</v>
      </c>
      <c r="G189" s="417"/>
      <c r="H189" s="417">
        <v>6000</v>
      </c>
      <c r="I189" s="1" t="str">
        <f>CONCATENATE(H189,"-",J16,", ",J19)</f>
        <v>6000-fényes fekete,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takaró profil Elegant II 1,7m grafit</v>
      </c>
      <c r="F190" s="419" t="str">
        <f>+VLOOKUP(A190,cennik!A:B,2,FALSE)</f>
        <v>SEVROLL 06048 takaró profil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takaró profil Elegant II 2,35m grafit</v>
      </c>
      <c r="F191" s="419" t="str">
        <f>+VLOOKUP(A191,cennik!A:B,2,FALSE)</f>
        <v>SEVROLL 06049 takaró profil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takaró profil Elegant II 3m grafit</v>
      </c>
      <c r="F192" s="419" t="str">
        <f>+VLOOKUP(A192,cennik!A:B,2,FALSE)</f>
        <v>SEVROLL 06050 takaró profil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takaró profil Elegant II 4,05m grafit</v>
      </c>
      <c r="F193" s="419" t="str">
        <f>+VLOOKUP(A193,cennik!A:B,2,FALSE)</f>
        <v>SEVROLL 06051 takaró profil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takaró profil Elegant II 6m grafit</v>
      </c>
      <c r="F194" s="419" t="str">
        <f>+VLOOKUP(A194,cennik!A:B,2,FALSE)</f>
        <v>SEVROLL 06052 takaró profil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1700-matt feket, Elegant II</v>
      </c>
      <c r="D195" s="418">
        <v>452751</v>
      </c>
      <c r="E195" s="419" t="str">
        <f>+VLOOKUP(A195,cennik!A:G,2,FALSE)</f>
        <v>SEVROLL 05317 takaró profil Elegant II 1,7m matt fekete</v>
      </c>
      <c r="F195" s="419" t="str">
        <f>+VLOOKUP(A195,cennik!A:B,2,FALSE)</f>
        <v>SEVROLL 05317 takaró profil Elegant II 1,7m matt fekete</v>
      </c>
      <c r="G195" s="417"/>
      <c r="H195" s="417">
        <v>1700</v>
      </c>
      <c r="I195" s="1" t="str">
        <f>CONCATENATE(H195,"-",J17,", ",J19)</f>
        <v>1700-matt feket,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2350-matt feket, Elegant II</v>
      </c>
      <c r="D196" s="417">
        <v>409679</v>
      </c>
      <c r="E196" s="419" t="str">
        <f>+VLOOKUP(A196,cennik!A:G,2,FALSE)</f>
        <v>SEVROLL 05318 takaró profil Elegant II 2,35m matt fekete</v>
      </c>
      <c r="F196" s="419" t="str">
        <f>+VLOOKUP(A196,cennik!A:B,2,FALSE)</f>
        <v>SEVROLL 05318 takaró profil Elegant II 2,35m matt fekete</v>
      </c>
      <c r="G196" s="417"/>
      <c r="H196" s="417">
        <v>2350</v>
      </c>
      <c r="I196" s="1" t="str">
        <f>CONCATENATE(H196,"-",J17,", ",J19)</f>
        <v>2350-matt feket,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3000-matt feket, Elegant II</v>
      </c>
      <c r="D197" s="417">
        <v>414086</v>
      </c>
      <c r="E197" s="419" t="str">
        <f>+VLOOKUP(A197,cennik!A:G,2,FALSE)</f>
        <v>SEVROLL 05319 takaró profil Elegant II 3m matt fekete</v>
      </c>
      <c r="F197" s="419" t="str">
        <f>+VLOOKUP(A197,cennik!A:B,2,FALSE)</f>
        <v>SEVROLL 05319 takaró profil Elegant II 3m matt fekete</v>
      </c>
      <c r="G197" s="417"/>
      <c r="H197" s="417">
        <v>3000</v>
      </c>
      <c r="I197" s="1" t="str">
        <f>CONCATENATE(H197,"-",J17,", ",J19)</f>
        <v>3000-matt feket,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4050-matt feket, Elegant II</v>
      </c>
      <c r="D198" s="417">
        <v>409680</v>
      </c>
      <c r="E198" s="419" t="str">
        <f>+VLOOKUP(A198,cennik!A:G,2,FALSE)</f>
        <v>SEVROLL 05320 takaró profil Elegant II 4,05m matt fekete</v>
      </c>
      <c r="F198" s="419" t="str">
        <f>+VLOOKUP(A198,cennik!A:B,2,FALSE)</f>
        <v>SEVROLL 05320 takaró profil Elegant II 4,05m matt fekete</v>
      </c>
      <c r="G198" s="417"/>
      <c r="H198" s="417">
        <v>4050</v>
      </c>
      <c r="I198" s="1" t="str">
        <f>CONCATENATE(H198,"-",J17,", ",J19)</f>
        <v>4050-matt feket,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6000-matt feket, Elegant II</v>
      </c>
      <c r="D199" s="418">
        <v>452757</v>
      </c>
      <c r="E199" s="419" t="str">
        <f>+VLOOKUP(A199,cennik!A:G,2,FALSE)</f>
        <v>SEVROLL takaró profil Elegant II 6m matt fekete</v>
      </c>
      <c r="F199" s="419" t="str">
        <f>+VLOOKUP(A199,cennik!A:B,2,FALSE)</f>
        <v>SEVROLL takaró profil Elegant II 6m matt fekete</v>
      </c>
      <c r="G199" s="417"/>
      <c r="H199" s="417">
        <v>6000</v>
      </c>
      <c r="I199" s="1" t="str">
        <f>CONCATENATE(H199,"-",J17,", ",J19)</f>
        <v>6000-matt feket,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6000-matt fehér, Elegant II</v>
      </c>
      <c r="D200" s="436">
        <v>394831</v>
      </c>
      <c r="E200" s="419" t="str">
        <f>+VLOOKUP(A200,cennik!A:G,2,FALSE)</f>
        <v>SEVROLL takaró profil Elegant II 6m matt fehér</v>
      </c>
      <c r="F200" s="419" t="str">
        <f>+VLOOKUP(A200,cennik!A:B,2,FALSE)</f>
        <v>SEVROLL takaró profil Elegant II 6m matt fehér</v>
      </c>
      <c r="H200" s="437">
        <v>6000</v>
      </c>
      <c r="I200" s="1" t="str">
        <f>CONCATENATE(H200,"-",J18,", ",J19)</f>
        <v>6000-matt fehér,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1700-matt fehér, Elegant II</v>
      </c>
      <c r="D201" s="436">
        <v>394848</v>
      </c>
      <c r="E201" s="419" t="str">
        <f>+VLOOKUP(A201,cennik!A:G,2,FALSE)</f>
        <v>SEVROLL 05163 takaró profil Elegant II 1,7m matt fehér</v>
      </c>
      <c r="F201" s="419" t="str">
        <f>+VLOOKUP(A201,cennik!A:B,2,FALSE)</f>
        <v>SEVROLL 05163 takaró profil Elegant II 1,7m matt fehér</v>
      </c>
      <c r="H201" s="437">
        <v>1700</v>
      </c>
      <c r="I201" s="1" t="str">
        <f>CONCATENATE(H201,"-",J18,", ",J19)</f>
        <v>1700-matt fehér,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2350-matt fehér, Elegant II</v>
      </c>
      <c r="D202" s="436">
        <v>395039</v>
      </c>
      <c r="E202" s="419" t="str">
        <f>+VLOOKUP(A202,cennik!A:G,2,FALSE)</f>
        <v>SEVROLL 05164takaró profil Elegant II 2,35m matt fehér</v>
      </c>
      <c r="F202" s="419" t="str">
        <f>+VLOOKUP(A202,cennik!A:B,2,FALSE)</f>
        <v>SEVROLL 05164takaró profil Elegant II 2,35m matt fehér</v>
      </c>
      <c r="H202" s="437">
        <v>2350</v>
      </c>
      <c r="I202" s="1" t="str">
        <f>CONCATENATE(H202,"-",J18,", ",J19)</f>
        <v>2350-matt fehér,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3000-matt fehér, Elegant II</v>
      </c>
      <c r="D203" s="436">
        <v>395041</v>
      </c>
      <c r="E203" s="419" t="str">
        <f>+VLOOKUP(A203,cennik!A:G,2,FALSE)</f>
        <v>SEVROLL  04438 takaró profil Elegant II 3m matt fehér</v>
      </c>
      <c r="F203" s="419" t="str">
        <f>+VLOOKUP(A203,cennik!A:B,2,FALSE)</f>
        <v>SEVROLL  04438 takaró profil Elegant II 3m matt fehér</v>
      </c>
      <c r="H203" s="437">
        <v>3000</v>
      </c>
      <c r="I203" s="1" t="str">
        <f>CONCATENATE(H203,"-",J18,", ",J19)</f>
        <v>3000-matt fehér,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4050-matt fehér, Elegant II</v>
      </c>
      <c r="D204" s="436">
        <v>395042</v>
      </c>
      <c r="E204" s="419" t="str">
        <f>+VLOOKUP(A204,cennik!A:G,2,FALSE)</f>
        <v>SEVROLL 05165 takaró profil Elegant II 4,05m matt fehér</v>
      </c>
      <c r="F204" s="419" t="str">
        <f>+VLOOKUP(A204,cennik!A:B,2,FALSE)</f>
        <v>SEVROLL 05165 takaró profil Elegant II 4,05m matt fehér</v>
      </c>
      <c r="H204" s="437">
        <v>4050</v>
      </c>
      <c r="I204" s="1" t="str">
        <f>CONCATENATE(H204,"-",J18,", ",J19)</f>
        <v>4050-matt fehér,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1700-fekete szerkezeti, Elegant II</v>
      </c>
      <c r="D205" s="196">
        <v>526524</v>
      </c>
      <c r="E205" s="419" t="str">
        <f>+VLOOKUP(A205,cennik!A:G,2,FALSE)</f>
        <v>SEVROLL 06301 takaró profil Elegant II 1,7m  fekete szerkezeti</v>
      </c>
      <c r="F205" s="419" t="str">
        <f>+VLOOKUP(A205,cennik!A:B,2,FALSE)</f>
        <v>SEVROLL 06301 takaró profil Elegant II 1,7m  fekete szerkezeti</v>
      </c>
      <c r="H205" s="437">
        <v>1700</v>
      </c>
      <c r="I205" s="1" t="str">
        <f>CONCATENATE(H205,"-",J22,", ",J19)</f>
        <v>1700-fekete szerkezeti,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2350-fekete szerkezeti, Elegant II</v>
      </c>
      <c r="D206" s="196">
        <v>526525</v>
      </c>
      <c r="E206" s="419" t="str">
        <f>+VLOOKUP(A206,cennik!A:G,2,FALSE)</f>
        <v>SEVROLL 06302 takaró profil Elegant II 2,35m  fekete szerkezeti</v>
      </c>
      <c r="F206" s="419" t="str">
        <f>+VLOOKUP(A206,cennik!A:B,2,FALSE)</f>
        <v>SEVROLL 06302 takaró profil Elegant II 2,35m  fekete szerkezeti</v>
      </c>
      <c r="H206" s="437">
        <v>2350</v>
      </c>
      <c r="I206" s="1" t="str">
        <f>CONCATENATE(H206,"-",J22,", ",J19)</f>
        <v>2350-fekete szerkezeti,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3000-fekete szerkezeti, Elegant II</v>
      </c>
      <c r="D207" s="196">
        <v>526526</v>
      </c>
      <c r="E207" s="419" t="str">
        <f>+VLOOKUP(A207,cennik!A:G,2,FALSE)</f>
        <v>SEVROLL 06303 takaró profil Elegant II 3m fekete szerkezeti</v>
      </c>
      <c r="F207" s="419" t="str">
        <f>+VLOOKUP(A207,cennik!A:B,2,FALSE)</f>
        <v>SEVROLL 06303 takaró profil Elegant II 3m fekete szerkezeti</v>
      </c>
      <c r="H207" s="437">
        <v>3000</v>
      </c>
      <c r="I207" s="1" t="str">
        <f>CONCATENATE(H207,"-",J22,", ",J19)</f>
        <v>3000-fekete szerkezeti,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4050-fekete szerkezeti, Elegant II</v>
      </c>
      <c r="D208" s="196">
        <v>526527</v>
      </c>
      <c r="E208" s="419" t="str">
        <f>+VLOOKUP(A208,cennik!A:G,2,FALSE)</f>
        <v>SEVROLL 06304 takaró profil Elegant II 4,05m fekete szerkezeti</v>
      </c>
      <c r="F208" s="419" t="str">
        <f>+VLOOKUP(A208,cennik!A:B,2,FALSE)</f>
        <v>SEVROLL 06304 takaró profil Elegant II 4,05m fekete szerkezeti</v>
      </c>
      <c r="H208" s="437">
        <v>4050</v>
      </c>
      <c r="I208" s="1" t="str">
        <f>CONCATENATE(H208,"-",J22,", ",J19)</f>
        <v>4050-fekete szerkezeti,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6000-fekete szerkezeti, Elegant II</v>
      </c>
      <c r="D209" s="196">
        <v>526528</v>
      </c>
      <c r="E209" s="419" t="str">
        <f>+VLOOKUP(A209,cennik!A:G,2,FALSE)</f>
        <v>SEVROLL 06157 takaró profil Elegant II 6m matt fekete szerkezeti</v>
      </c>
      <c r="F209" s="419" t="str">
        <f>+VLOOKUP(A209,cennik!A:B,2,FALSE)</f>
        <v>SEVROLL 06157 takaró profil Elegant II 6m matt fekete szerkezeti</v>
      </c>
      <c r="H209" s="437">
        <v>6000</v>
      </c>
      <c r="I209" s="1" t="str">
        <f>CONCATENATE(H209,"-",J22,", ",J19)</f>
        <v>6000-fekete szerkezeti,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1700-ezüst</v>
      </c>
      <c r="D211" s="49">
        <v>89106</v>
      </c>
      <c r="E211" s="48" t="str">
        <f>+VLOOKUP(A211,cennik!A:G,2,FALSE)</f>
        <v>SEVROLL 01023 Gemini felső vezetés 1,7m ezüst</v>
      </c>
      <c r="F211" s="48" t="str">
        <f>+VLOOKUP(A211,cennik!A:B,2,FALSE)</f>
        <v>SEVROLL 01023 Gemini felső vezetés 1,7m ezüst</v>
      </c>
      <c r="G211" s="1" t="e">
        <f>+VLOOKUP(A211,#REF!,4,FALSE)</f>
        <v>#REF!</v>
      </c>
      <c r="H211" s="1">
        <v>1700</v>
      </c>
      <c r="I211" s="1" t="str">
        <f>CONCATENATE(H211,"-",J4)</f>
        <v>1700-ezüst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2350-ezüst</v>
      </c>
      <c r="D212" s="49">
        <v>89109</v>
      </c>
      <c r="E212" s="48" t="str">
        <f>+VLOOKUP(A212,cennik!A:G,2,FALSE)</f>
        <v>SEVROLL 01025 Gemini felső vezetés 2,35m ezüst</v>
      </c>
      <c r="F212" s="48" t="str">
        <f>+VLOOKUP(A212,cennik!A:B,2,FALSE)</f>
        <v>SEVROLL 01025 Gemini felső vezetés 2,35m ezüst</v>
      </c>
      <c r="G212" s="1" t="e">
        <f>+VLOOKUP(A212,#REF!,4,FALSE)</f>
        <v>#REF!</v>
      </c>
      <c r="H212" s="1">
        <v>2350</v>
      </c>
      <c r="I212" s="1" t="str">
        <f>CONCATENATE(H212,"-",J4)</f>
        <v>2350-ezüst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3000-ezüst</v>
      </c>
      <c r="D213" s="49">
        <v>89112</v>
      </c>
      <c r="E213" s="48" t="str">
        <f>+VLOOKUP(A213,cennik!A:G,2,FALSE)</f>
        <v>SEVROLL  01026 Gemini felső sín 3m, ezüst</v>
      </c>
      <c r="F213" s="48" t="str">
        <f>+VLOOKUP(A213,cennik!A:B,2,FALSE)</f>
        <v>SEVROLL  01026 Gemini felső sín 3m, ezüst</v>
      </c>
      <c r="G213" s="1" t="e">
        <f>+VLOOKUP(A213,#REF!,4,FALSE)</f>
        <v>#REF!</v>
      </c>
      <c r="H213" s="1">
        <v>3000</v>
      </c>
      <c r="I213" s="1" t="str">
        <f>CONCATENATE(H213,"-",J4)</f>
        <v>3000-ezüst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4050-ezüst</v>
      </c>
      <c r="D214" s="49">
        <v>89115</v>
      </c>
      <c r="E214" s="48" t="str">
        <f>+VLOOKUP(A214,cennik!A:G,2,FALSE)</f>
        <v>SEVROLL 01469 Gemini felső vezetés 4,05m ezüst</v>
      </c>
      <c r="F214" s="48" t="str">
        <f>+VLOOKUP(A214,cennik!A:B,2,FALSE)</f>
        <v>SEVROLL 01469 Gemini felső vezetés 4,05m ezüst</v>
      </c>
      <c r="G214" s="1" t="e">
        <f>+VLOOKUP(A214,#REF!,4,FALSE)</f>
        <v>#REF!</v>
      </c>
      <c r="H214" s="1">
        <v>4050</v>
      </c>
      <c r="I214" s="1" t="str">
        <f>CONCATENATE(H214,"-",J4)</f>
        <v>4050-ezüst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6000-ezüst</v>
      </c>
      <c r="D215" s="49">
        <v>134933</v>
      </c>
      <c r="E215" s="48" t="str">
        <f>+VLOOKUP(A215,cennik!A:G,2,FALSE)</f>
        <v>SEVROLL 01391 Gemini felső vezetés 6m ezüst</v>
      </c>
      <c r="F215" s="48" t="str">
        <f>+VLOOKUP(A215,cennik!A:B,2,FALSE)</f>
        <v>SEVROLL 01391 Gemini felső vezetés 6m ezüst</v>
      </c>
      <c r="H215" s="1">
        <v>6000</v>
      </c>
      <c r="I215" s="1" t="str">
        <f>CONCATENATE(H215,"-",J4)</f>
        <v>6000-ezüst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1700-arany/sárgaréz</v>
      </c>
      <c r="D216" s="49">
        <v>542704</v>
      </c>
      <c r="E216" s="48" t="str">
        <f>+VLOOKUP(A216,cennik!A:G,2,FALSE)</f>
        <v>SEVROLL 06805 Gemini felső vezetés 1,7m arany/sárgaréz</v>
      </c>
      <c r="F216" s="48" t="str">
        <f>+VLOOKUP(A216,cennik!A:B,2,FALSE)</f>
        <v>SEVROLL 06805 Gemini felső vezetés 1,7m arany/sárgaréz</v>
      </c>
      <c r="G216" s="1" t="e">
        <f>+VLOOKUP(A216,#REF!,4,FALSE)</f>
        <v>#REF!</v>
      </c>
      <c r="H216" s="1">
        <v>1700</v>
      </c>
      <c r="I216" s="1" t="str">
        <f>CONCATENATE(H216,"-",J5)</f>
        <v>1700-arany/sárgaréz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2350-arany/sárgaréz</v>
      </c>
      <c r="D217" s="49">
        <v>542705</v>
      </c>
      <c r="E217" s="48" t="str">
        <f>+VLOOKUP(A217,cennik!A:G,2,FALSE)</f>
        <v>SEVROLL 06806 Gemini felső vezetés 2,35m arany/sárgaréz</v>
      </c>
      <c r="F217" s="48" t="str">
        <f>+VLOOKUP(A217,cennik!A:B,2,FALSE)</f>
        <v>SEVROLL 06806 Gemini felső vezetés 2,35m arany/sárgaréz</v>
      </c>
      <c r="G217" s="1" t="e">
        <f>+VLOOKUP(A217,#REF!,4,FALSE)</f>
        <v>#REF!</v>
      </c>
      <c r="H217" s="1">
        <v>2350</v>
      </c>
      <c r="I217" s="1" t="str">
        <f>CONCATENATE(H217,"-",J5)</f>
        <v>2350-arany/sárgaréz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3000-arany/sárgaréz</v>
      </c>
      <c r="D218" s="49">
        <v>542583</v>
      </c>
      <c r="E218" s="48" t="str">
        <f>+VLOOKUP(A218,cennik!A:G,2,FALSE)</f>
        <v>SEVROLL 06807 Gemini felső vezetés 3m arany/sárgaréz</v>
      </c>
      <c r="F218" s="48" t="str">
        <f>+VLOOKUP(A218,cennik!A:B,2,FALSE)</f>
        <v>SEVROLL 06807 Gemini felső vezetés 3m arany/sárgaréz</v>
      </c>
      <c r="G218" s="1" t="e">
        <f>+VLOOKUP(A218,#REF!,4,FALSE)</f>
        <v>#REF!</v>
      </c>
      <c r="H218" s="1">
        <v>3000</v>
      </c>
      <c r="I218" s="1" t="str">
        <f>CONCATENATE(H218,"-",J5)</f>
        <v>3000-arany/sárgaréz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4050-arany/sárgaréz</v>
      </c>
      <c r="D219" s="49">
        <v>542592</v>
      </c>
      <c r="E219" s="48" t="str">
        <f>+VLOOKUP(A219,cennik!A:G,2,FALSE)</f>
        <v>SEVROLL 06808 Gemini felső vezetés 4,05m arany/sárgaréz</v>
      </c>
      <c r="F219" s="48" t="str">
        <f>+VLOOKUP(A219,cennik!A:B,2,FALSE)</f>
        <v>SEVROLL 06808 Gemini felső vezetés 4,05m arany/sárgaréz</v>
      </c>
      <c r="G219" s="1" t="e">
        <f>+VLOOKUP(A219,#REF!,4,FALSE)</f>
        <v>#REF!</v>
      </c>
      <c r="H219" s="1">
        <v>4050</v>
      </c>
      <c r="I219" s="1" t="str">
        <f>CONCATENATE(H219,"-",J5)</f>
        <v>4050-arany/sárgaréz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6000-arany/sárgaréz</v>
      </c>
      <c r="D220" s="49">
        <v>542633</v>
      </c>
      <c r="E220" s="48" t="str">
        <f>+VLOOKUP(A220,cennik!A:G,2,FALSE)</f>
        <v>SEVROLL 06809 Gemini felső vezetés 6m arany/sárgaréz</v>
      </c>
      <c r="F220" s="48" t="str">
        <f>+VLOOKUP(A220,cennik!A:B,2,FALSE)</f>
        <v>SEVROLL 06809 Gemini felső vezetés 6m arany/sárgaréz</v>
      </c>
      <c r="H220" s="1">
        <v>6000</v>
      </c>
      <c r="I220" s="1" t="str">
        <f>CONCATENATE(H220,"-",J5)</f>
        <v>6000-arany/sárgaréz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2350-matt feket</v>
      </c>
      <c r="D221" s="49">
        <v>409670</v>
      </c>
      <c r="E221" s="48" t="str">
        <f>+VLOOKUP(A221,cennik!A:G,2,FALSE)</f>
        <v>SEVROLL 05314 Gemini felső vezetés 2,35m matt fekete</v>
      </c>
      <c r="F221" s="48" t="str">
        <f>+VLOOKUP(A221,cennik!A:B,2,FALSE)</f>
        <v>SEVROLL 05314 Gemini felső vezetés 2,35m matt fekete</v>
      </c>
      <c r="H221" s="1">
        <v>2350</v>
      </c>
      <c r="I221" s="1" t="str">
        <f>CONCATENATE(H221,"-",J17)</f>
        <v>2350-matt feket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4050-matt feket</v>
      </c>
      <c r="D222" s="49">
        <v>409674</v>
      </c>
      <c r="E222" s="48" t="str">
        <f>+VLOOKUP(A222,cennik!A:G,2,FALSE)</f>
        <v>SEVROLL04835  Gemini felső vezetés 4,05m matt fekete</v>
      </c>
      <c r="F222" s="48" t="str">
        <f>+VLOOKUP(A222,cennik!A:B,2,FALSE)</f>
        <v>SEVROLL04835  Gemini felső vezetés 4,05m matt fekete</v>
      </c>
      <c r="G222" s="48" t="e">
        <f>+VLOOKUP(C222,cennik!A:G,2,FALSE)</f>
        <v>#N/A</v>
      </c>
      <c r="H222" s="1">
        <v>4050</v>
      </c>
      <c r="I222" s="1" t="str">
        <f>CONCATENATE(H222,"-",J17)</f>
        <v>4050-matt feket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3000-matt feket</v>
      </c>
      <c r="D223" s="49">
        <v>412229</v>
      </c>
      <c r="E223" s="48" t="str">
        <f>+VLOOKUP(A223,cennik!A:G,2,FALSE)</f>
        <v>SEVROLL 05315 Gemini felső vezetés 3m matt fekete</v>
      </c>
      <c r="F223" s="48" t="str">
        <f>+VLOOKUP(A223,cennik!A:B,2,FALSE)</f>
        <v>SEVROLL 05315 Gemini felső vezetés 3m matt fekete</v>
      </c>
      <c r="H223" s="1">
        <v>3000</v>
      </c>
      <c r="I223" s="1" t="str">
        <f>CONCATENATE(H223,"-",J17)</f>
        <v>3000-matt feket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1700-matt feket</v>
      </c>
      <c r="D224" s="49">
        <v>422008</v>
      </c>
      <c r="E224" s="48" t="str">
        <f>+VLOOKUP(A224,cennik!A:G,2,FALSE)</f>
        <v>SEVROLL 05313 Gemini felső vezetés 1,7m matt fekete</v>
      </c>
      <c r="F224" s="48" t="str">
        <f>+VLOOKUP(A224,cennik!A:B,2,FALSE)</f>
        <v>SEVROLL 05313 Gemini felső vezetés 1,7m matt fekete</v>
      </c>
      <c r="H224" s="1">
        <v>1700</v>
      </c>
      <c r="I224" s="1" t="str">
        <f>CONCATENATE(H224,"-",J17)</f>
        <v>1700-matt feket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6000-matt feket</v>
      </c>
      <c r="D225" s="49">
        <v>452736</v>
      </c>
      <c r="E225" s="48" t="str">
        <f>+VLOOKUP(A225,cennik!A:G,2,FALSE)</f>
        <v>SEVROLL Gemini felső vezetés 6m matt fekete</v>
      </c>
      <c r="F225" s="48" t="str">
        <f>+VLOOKUP(A225,cennik!A:B,2,FALSE)</f>
        <v>SEVROLL Gemini felső vezetés 6m matt fekete</v>
      </c>
      <c r="H225" s="1">
        <v>6000</v>
      </c>
      <c r="I225" s="1" t="str">
        <f>CONCATENATE(H225,"-",J17)</f>
        <v>6000-matt feket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felső vezetés 1,7m oliva</v>
      </c>
      <c r="F226" s="48" t="str">
        <f>+VLOOKUP(A226,cennik!A:B,2,FALSE)</f>
        <v>SEVROLL 01008 Gemini felső vezetés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felső vezetés 2,35m oliva</v>
      </c>
      <c r="F227" s="48" t="str">
        <f>+VLOOKUP(A227,cennik!A:B,2,FALSE)</f>
        <v>SEVROLL 01010 Gemini felső vezetés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felső vezetés 3m oliva</v>
      </c>
      <c r="F228" s="48" t="str">
        <f>+VLOOKUP(A228,cennik!A:B,2,FALSE)</f>
        <v>SEVROLL 01011 Gemini felső vezetés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felső vezetés 4,05m oliva</v>
      </c>
      <c r="F229" s="48" t="str">
        <f>+VLOOKUP(A229,cennik!A:B,2,FALSE)</f>
        <v>SEVROLL 01439 Gemini felső vezetés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01391 Gemini felső vezetés 6m oliva</v>
      </c>
      <c r="F230" s="48" t="str">
        <f>+VLOOKUP(A230,cennik!A:B,2,FALSE)</f>
        <v>SEVROLL 01391 Gemini felső vezetés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1700-fekete szerkezeti</v>
      </c>
      <c r="D231" s="196">
        <v>526516</v>
      </c>
      <c r="E231" s="48" t="str">
        <f>+VLOOKUP(A231,cennik!A:G,2,FALSE)</f>
        <v>SEVROLL 06285 Gemini felső vezetés 1,7m fekete szerkezeti</v>
      </c>
      <c r="F231" s="48" t="str">
        <f>+VLOOKUP(A231,cennik!A:B,2,FALSE)</f>
        <v>SEVROLL 06285 Gemini felső vezetés 1,7m fekete szerkezeti</v>
      </c>
      <c r="H231" s="1">
        <v>1700</v>
      </c>
      <c r="I231" s="1" t="str">
        <f>CONCATENATE(H231,"-",J22)</f>
        <v>1700-fekete szerkezeti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2350-fekete szerkezeti</v>
      </c>
      <c r="D232" s="196">
        <v>526519</v>
      </c>
      <c r="E232" s="48" t="str">
        <f>+VLOOKUP(A232,cennik!A:G,2,FALSE)</f>
        <v>SEVROLL 06286 Gemini felső vezetés 2,35m  fekete szerkezeti</v>
      </c>
      <c r="F232" s="48" t="str">
        <f>+VLOOKUP(A232,cennik!A:B,2,FALSE)</f>
        <v>SEVROLL 06286 Gemini felső vezetés 2,35m  fekete szerkezeti</v>
      </c>
      <c r="H232" s="1">
        <v>2350</v>
      </c>
      <c r="I232" s="1" t="str">
        <f>CONCATENATE(H232,"-",J22)</f>
        <v>2350-fekete szerkezeti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3000-fekete szerkezeti</v>
      </c>
      <c r="D233" s="196">
        <v>526520</v>
      </c>
      <c r="E233" s="48" t="str">
        <f>+VLOOKUP(A233,cennik!A:G,2,FALSE)</f>
        <v>SEVROLL 06287 Gemini felső vezetés 3m fekete szerkezeti</v>
      </c>
      <c r="F233" s="48" t="str">
        <f>+VLOOKUP(A233,cennik!A:B,2,FALSE)</f>
        <v>SEVROLL 06287 Gemini felső vezetés 3m fekete szerkezeti</v>
      </c>
      <c r="H233" s="1">
        <v>3000</v>
      </c>
      <c r="I233" s="1" t="str">
        <f>CONCATENATE(H233,"-",J22)</f>
        <v>3000-fekete szerkezeti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4050-fekete szerkezeti</v>
      </c>
      <c r="D234" s="196">
        <v>526521</v>
      </c>
      <c r="E234" s="48" t="str">
        <f>+VLOOKUP(A234,cennik!A:G,2,FALSE)</f>
        <v>SEVROLL 06288  Gemini felső vezetés 4,05m fekete szerkezeti</v>
      </c>
      <c r="F234" s="48" t="str">
        <f>+VLOOKUP(A234,cennik!A:B,2,FALSE)</f>
        <v>SEVROLL 06288  Gemini felső vezetés 4,05m fekete szerkezeti</v>
      </c>
      <c r="H234" s="1">
        <v>4050</v>
      </c>
      <c r="I234" s="1" t="str">
        <f>CONCATENATE(H234,"-",J22)</f>
        <v>4050-fekete szerkezeti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6000-fekete szerkezeti</v>
      </c>
      <c r="D235" s="196">
        <v>526522</v>
      </c>
      <c r="E235" s="48" t="str">
        <f>+VLOOKUP(A235,cennik!A:G,2,FALSE)</f>
        <v>SEVROLL 06154 Gemini felső vezetés 6m fekete szerkezeti</v>
      </c>
      <c r="F235" s="48" t="str">
        <f>+VLOOKUP(A235,cennik!A:B,2,FALSE)</f>
        <v>SEVROLL 06154 Gemini felső vezetés 6m fekete szerkezeti</v>
      </c>
      <c r="H235" s="1">
        <v>6000</v>
      </c>
      <c r="I235" s="1" t="str">
        <f>CONCATENATE(H235,"-",J22)</f>
        <v>6000-fekete szerkezeti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1700-kefélt oliva</v>
      </c>
      <c r="D236" s="49">
        <v>119459</v>
      </c>
      <c r="E236" s="48" t="str">
        <f>+VLOOKUP(A236,cennik!A:G,2,FALSE)</f>
        <v>SEVROLL 02501-Y Gemini felső vezetés 1,7m oliva szálcsiszolt</v>
      </c>
      <c r="F236" s="48" t="str">
        <f>+VLOOKUP(A236,cennik!A:B,2,FALSE)</f>
        <v>SEVROLL 02501-Y Gemini felső vezetés 1,7m oliva szálcsiszolt</v>
      </c>
      <c r="H236" s="1">
        <v>1700</v>
      </c>
      <c r="I236" s="1" t="str">
        <f>CONCATENATE(H236,"-",J7)</f>
        <v>1700-kefélt oliva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2350-kefélt oliva</v>
      </c>
      <c r="D237" s="49">
        <v>120864</v>
      </c>
      <c r="E237" s="48" t="str">
        <f>+VLOOKUP(A237,cennik!A:G,2,FALSE)</f>
        <v>SEVROLL 02498-Y Gemini felső vezetés 2,35m oliva szálcsiszolt</v>
      </c>
      <c r="F237" s="48" t="str">
        <f>+VLOOKUP(A237,cennik!A:B,2,FALSE)</f>
        <v>SEVROLL 02498-Y Gemini felső vezetés 2,35m oliva szálcsiszolt</v>
      </c>
      <c r="H237" s="1">
        <v>2350</v>
      </c>
      <c r="I237" s="1" t="str">
        <f>CONCATENATE(H237,"-",J7)</f>
        <v>2350-kefélt oliva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3000-kefélt oliva</v>
      </c>
      <c r="D238" s="49">
        <v>120865</v>
      </c>
      <c r="E238" s="48" t="str">
        <f>+VLOOKUP(A238,cennik!A:G,2,FALSE)</f>
        <v>SEVROLL 02499-Y Gemini felső vezetés 3m oliva szálcsiszolt</v>
      </c>
      <c r="F238" s="48" t="str">
        <f>+VLOOKUP(A238,cennik!A:B,2,FALSE)</f>
        <v>SEVROLL 02499-Y Gemini felső vezetés 3m oliva szálcsiszolt</v>
      </c>
      <c r="H238" s="1">
        <v>3000</v>
      </c>
      <c r="I238" s="1" t="str">
        <f>CONCATENATE(H238,"-",J7)</f>
        <v>3000-kefélt oliva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4050-kefélt oliva</v>
      </c>
      <c r="D239" s="49">
        <v>120867</v>
      </c>
      <c r="E239" s="48" t="str">
        <f>+VLOOKUP(A239,cennik!A:G,2,FALSE)</f>
        <v>SEVROLL   02500-Y Gemini felső vezetés 4,05m oliva szálcsiszolt</v>
      </c>
      <c r="F239" s="48" t="str">
        <f>+VLOOKUP(A239,cennik!A:B,2,FALSE)</f>
        <v>SEVROLL   02500-Y Gemini felső vezetés 4,05m oliva szálcsiszolt</v>
      </c>
      <c r="H239" s="1">
        <v>4050</v>
      </c>
      <c r="I239" s="1" t="str">
        <f>CONCATENATE(H239,"-",J7)</f>
        <v>4050-kefélt oliva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6000-kefélt oliva</v>
      </c>
      <c r="D240" s="49">
        <v>225370</v>
      </c>
      <c r="E240" s="48" t="str">
        <f>+VLOOKUP(A240,cennik!A:G,2,FALSE)</f>
        <v>SEVROLL Gemini felső vezetés 6m oliva szálcsiszolt</v>
      </c>
      <c r="F240" s="48" t="str">
        <f>+VLOOKUP(A240,cennik!A:B,2,FALSE)</f>
        <v>SEVROLL Gemini felső vezetés 6m oliva szálcsiszolt</v>
      </c>
      <c r="H240" s="1">
        <v>6000</v>
      </c>
      <c r="I240" s="1" t="str">
        <f>CONCATENATE(H240,"-",J7)</f>
        <v>6000-kefélt oliva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1700-szálcsi.oliva sö.</v>
      </c>
      <c r="D241" s="49">
        <v>205162</v>
      </c>
      <c r="E241" s="48" t="str">
        <f>+VLOOKUP(A241,cennik!A:G,2,FALSE)</f>
        <v>SEVROLL Gemini felső vezetés 1,7m oliva sötét szálcsiszolt</v>
      </c>
      <c r="F241" s="48" t="str">
        <f>+VLOOKUP(A241,cennik!A:B,2,FALSE)</f>
        <v>SEVROLL Gemini felső vezetés 1,7m oliva sötét szálcsiszolt</v>
      </c>
      <c r="H241" s="1">
        <v>1700</v>
      </c>
      <c r="I241" s="1" t="str">
        <f>CONCATENATE(H241,"-",J8)</f>
        <v>1700-szálcsi.oliva sö.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2350-szálcsi.oliva sö.</v>
      </c>
      <c r="D242" s="49">
        <v>205164</v>
      </c>
      <c r="E242" s="48" t="str">
        <f>+VLOOKUP(A242,cennik!A:G,2,FALSE)</f>
        <v>SEVROLL Gemini felső vezetés 2,35m oliva sötét szálcsiszolt</v>
      </c>
      <c r="F242" s="48" t="str">
        <f>+VLOOKUP(A242,cennik!A:B,2,FALSE)</f>
        <v>SEVROLL Gemini felső vezetés 2,35m oliva sötét szálcsiszolt</v>
      </c>
      <c r="H242" s="1">
        <v>2350</v>
      </c>
      <c r="I242" s="1" t="str">
        <f>CONCATENATE(H242,"-",J8)</f>
        <v>2350-szálcsi.oliva sö.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3000-szálcsi.oliva sö.</v>
      </c>
      <c r="D243" s="49">
        <v>205166</v>
      </c>
      <c r="E243" s="48" t="str">
        <f>+VLOOKUP(A243,cennik!A:G,2,FALSE)</f>
        <v>SEVROLL Gemini felső vezetés 3m oliva sötét szálcsiszolt</v>
      </c>
      <c r="F243" s="48" t="str">
        <f>+VLOOKUP(A243,cennik!A:B,2,FALSE)</f>
        <v>SEVROLL Gemini felső vezetés 3m oliva sötét szálcsiszolt</v>
      </c>
      <c r="H243" s="1">
        <v>3000</v>
      </c>
      <c r="I243" s="1" t="str">
        <f>CONCATENATE(H243,"-",J8)</f>
        <v>3000-szálcsi.oliva sö.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4050-szálcsi.oliva sö.</v>
      </c>
      <c r="D244" s="49">
        <v>205168</v>
      </c>
      <c r="E244" s="48" t="str">
        <f>+VLOOKUP(A244,cennik!A:G,2,FALSE)</f>
        <v>SEVROLL Gemini felső vezetés 4,05m oliva sötét szálcsiszolt</v>
      </c>
      <c r="F244" s="48" t="str">
        <f>+VLOOKUP(A244,cennik!A:B,2,FALSE)</f>
        <v>SEVROLL Gemini felső vezetés 4,05m oliva sötét szálcsiszolt</v>
      </c>
      <c r="H244" s="1">
        <v>4050</v>
      </c>
      <c r="I244" s="1" t="str">
        <f>CONCATENATE(H244,"-",J8)</f>
        <v>4050-szálcsi.oliva sö.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6000-szálcsi.oliva sö.</v>
      </c>
      <c r="D245" s="49">
        <v>225371</v>
      </c>
      <c r="E245" s="48" t="str">
        <f>+VLOOKUP(A245,cennik!A:G,2,FALSE)</f>
        <v>SEVROLL Gemini felső vezetés 6m oliva sötét szálcsiszolt</v>
      </c>
      <c r="F245" s="48" t="str">
        <f>+VLOOKUP(A245,cennik!A:B,2,FALSE)</f>
        <v>SEVROLL Gemini felső vezetés 6m oliva sötét szálcsiszolt</v>
      </c>
      <c r="H245" s="1">
        <v>6000</v>
      </c>
      <c r="I245" s="1" t="str">
        <f>CONCATENATE(H245,"-",J8)</f>
        <v>6000-szálcsi.oliva sö.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1700-szálcsi.fekete</v>
      </c>
      <c r="D246" s="49">
        <v>205163</v>
      </c>
      <c r="E246" s="48" t="str">
        <f>+VLOOKUP(A246,cennik!A:G,2,FALSE)</f>
        <v>SEVROLL 03115 Gemini felső vezetés 1,7m fekete szálcsiszolt</v>
      </c>
      <c r="F246" s="48" t="str">
        <f>+VLOOKUP(A246,cennik!A:B,2,FALSE)</f>
        <v>SEVROLL 03115 Gemini felső vezetés 1,7m fekete szálcsiszolt</v>
      </c>
      <c r="H246" s="1">
        <v>1700</v>
      </c>
      <c r="I246" s="1" t="str">
        <f>CONCATENATE(H246,"-",J9)</f>
        <v>1700-szálcsi.fekete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2350-szálcsi.fekete</v>
      </c>
      <c r="D247" s="49">
        <v>205165</v>
      </c>
      <c r="E247" s="48" t="str">
        <f>+VLOOKUP(A247,cennik!A:G,2,FALSE)</f>
        <v>SEVROLL 03116 Gemini felső vezetés 2,35m fekete szálcsiszolt</v>
      </c>
      <c r="F247" s="48" t="str">
        <f>+VLOOKUP(A247,cennik!A:B,2,FALSE)</f>
        <v>SEVROLL 03116 Gemini felső vezetés 2,35m fekete szálcsiszolt</v>
      </c>
      <c r="H247" s="1">
        <v>2350</v>
      </c>
      <c r="I247" s="1" t="str">
        <f>CONCATENATE(H247,"-",J9)</f>
        <v>2350-szálcsi.fekete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3000-szálcsi.fekete</v>
      </c>
      <c r="D248" s="49">
        <v>205167</v>
      </c>
      <c r="E248" s="48" t="str">
        <f>+VLOOKUP(A248,cennik!A:G,2,FALSE)</f>
        <v>SEVROLL 03117 Gemini felső vezetés 3m fekete szálcsiszolt</v>
      </c>
      <c r="F248" s="48" t="str">
        <f>+VLOOKUP(A248,cennik!A:B,2,FALSE)</f>
        <v>SEVROLL 03117 Gemini felső vezetés 3m fekete szálcsiszolt</v>
      </c>
      <c r="H248" s="1">
        <v>3000</v>
      </c>
      <c r="I248" s="1" t="str">
        <f>CONCATENATE(H248,"-",J9)</f>
        <v>3000-szálcsi.fekete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4050-szálcsi.fekete</v>
      </c>
      <c r="D249" s="49">
        <v>205169</v>
      </c>
      <c r="E249" s="48" t="str">
        <f>+VLOOKUP(A249,cennik!A:G,2,FALSE)</f>
        <v>SEVROLL 03118 Gemini felső vezetés 4,05m fekete szálcsiszolt</v>
      </c>
      <c r="F249" s="48" t="str">
        <f>+VLOOKUP(A249,cennik!A:B,2,FALSE)</f>
        <v>SEVROLL 03118 Gemini felső vezetés 4,05m fekete szálcsiszolt</v>
      </c>
      <c r="H249" s="1">
        <v>4050</v>
      </c>
      <c r="I249" s="1" t="str">
        <f>CONCATENATE(H249,"-",J9)</f>
        <v>4050-szálcsi.fekete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6000-szálcsi.fekete</v>
      </c>
      <c r="D250" s="48">
        <v>225372</v>
      </c>
      <c r="E250" s="48" t="str">
        <f>+VLOOKUP(A250,cennik!A:G,2,FALSE)</f>
        <v>SEVROLL Gemini felső vezetés 6m fekete szálcsiszolt</v>
      </c>
      <c r="F250" s="48" t="str">
        <f>+VLOOKUP(A250,cennik!A:B,2,FALSE)</f>
        <v>SEVROLL Gemini felső vezetés 6m fekete szálcsiszolt</v>
      </c>
      <c r="H250" s="1">
        <v>6000</v>
      </c>
      <c r="I250" s="1" t="str">
        <f>CONCATENATE(H250,"-",J9)</f>
        <v>6000-szálcsi.fekete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1700-fehér fényes</v>
      </c>
      <c r="D251" s="49">
        <v>276751</v>
      </c>
      <c r="E251" s="48" t="str">
        <f>+VLOOKUP(A251,cennik!A:G,2,FALSE)</f>
        <v>SEVROLL 04059 Gemini felső vezetés 1,7m fényes fehér</v>
      </c>
      <c r="F251" s="48" t="str">
        <f>+VLOOKUP(A251,cennik!A:B,2,FALSE)</f>
        <v>SEVROLL 04059 Gemini felső vezetés 1,7m fényes fehér</v>
      </c>
      <c r="H251" s="1">
        <v>1700</v>
      </c>
      <c r="I251" s="1" t="str">
        <f>CONCATENATE(H251,"-",J15)</f>
        <v>1700-fehér fényes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2350-fehér fényes</v>
      </c>
      <c r="D252" s="49">
        <v>267882</v>
      </c>
      <c r="E252" s="48" t="str">
        <f>+VLOOKUP(A252,cennik!A:G,2,FALSE)</f>
        <v>SEVROLL 04060 Gemini felső vezetés 2,35m fényes fehér</v>
      </c>
      <c r="F252" s="48" t="str">
        <f>+VLOOKUP(A252,cennik!A:B,2,FALSE)</f>
        <v>SEVROLL 04060 Gemini felső vezetés 2,35m fényes fehér</v>
      </c>
      <c r="H252" s="1">
        <v>2350</v>
      </c>
      <c r="I252" s="1" t="str">
        <f>CONCATENATE(H252,"-",J15)</f>
        <v>2350-fehér fényes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3000-fehér fényes</v>
      </c>
      <c r="D253" s="49">
        <v>252566</v>
      </c>
      <c r="E253" s="48" t="str">
        <f>+VLOOKUP(A253,cennik!A:G,2,FALSE)</f>
        <v>SEVROLL 04016 Gemini felső vezetés 3m fényes fehér</v>
      </c>
      <c r="F253" s="48" t="str">
        <f>+VLOOKUP(A253,cennik!A:B,2,FALSE)</f>
        <v>SEVROLL 04016 Gemini felső vezetés 3m fényes fehér</v>
      </c>
      <c r="H253" s="1">
        <v>3000</v>
      </c>
      <c r="I253" s="1" t="str">
        <f>CONCATENATE(H253,"-",J15)</f>
        <v>3000-fehér fényes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4050-fehér fényes</v>
      </c>
      <c r="D254" s="49">
        <v>276749</v>
      </c>
      <c r="E254" s="48" t="str">
        <f>+VLOOKUP(A254,cennik!A:G,2,FALSE)</f>
        <v>SEVROLL 04061 Gemini felső vezetés 4,05m fényes fehér</v>
      </c>
      <c r="F254" s="48" t="str">
        <f>+VLOOKUP(A254,cennik!A:B,2,FALSE)</f>
        <v>SEVROLL 04061 Gemini felső vezetés 4,05m fényes fehér</v>
      </c>
      <c r="H254" s="1">
        <v>4050</v>
      </c>
      <c r="I254" s="1" t="str">
        <f>CONCATENATE(H254,"-",J15)</f>
        <v>4050-fehér fényes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6000-fehér fényes</v>
      </c>
      <c r="D255" s="49">
        <v>311586</v>
      </c>
      <c r="E255" s="48" t="str">
        <f>+VLOOKUP(A255,cennik!A:G,2,FALSE)</f>
        <v>SEVROLL Gemini felső vezetés 6m fényes fehér</v>
      </c>
      <c r="F255" s="48" t="str">
        <f>+VLOOKUP(A255,cennik!A:B,2,FALSE)</f>
        <v>SEVROLL Gemini felső vezetés 6m fényes fehér</v>
      </c>
      <c r="H255" s="1">
        <v>6000</v>
      </c>
      <c r="I255" s="1" t="str">
        <f>CONCATENATE(H255,"-",J15)</f>
        <v>6000-fehér fényes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1700-fényes fekete</v>
      </c>
      <c r="D256" s="2">
        <v>405407</v>
      </c>
      <c r="E256" s="48" t="str">
        <f>+VLOOKUP(A256,cennik!A:G,2,FALSE)</f>
        <v>SEVROLL 05175 Gemini felső vezetés 1,7m fényes fekete</v>
      </c>
      <c r="F256" s="48" t="str">
        <f>+VLOOKUP(A256,cennik!A:B,2,FALSE)</f>
        <v>SEVROLL 05175 Gemini felső vezetés 1,7m fényes fekete</v>
      </c>
      <c r="H256" s="1">
        <v>1700</v>
      </c>
      <c r="I256" s="1" t="str">
        <f>CONCATENATE(H256,"-",J16)</f>
        <v>1700-fényes fekete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2350-fényes fekete</v>
      </c>
      <c r="D257" s="2">
        <v>398096</v>
      </c>
      <c r="E257" s="48" t="str">
        <f>+VLOOKUP(A257,cennik!A:G,2,FALSE)</f>
        <v>SEVROLL05176  Gemini felső vezetés 2,35m fényes fekete</v>
      </c>
      <c r="F257" s="48" t="str">
        <f>+VLOOKUP(A257,cennik!A:B,2,FALSE)</f>
        <v>SEVROLL05176  Gemini felső vezetés 2,35m fényes fekete</v>
      </c>
      <c r="H257" s="1">
        <v>2350</v>
      </c>
      <c r="I257" s="1" t="str">
        <f>CONCATENATE(H257,"-",J16)</f>
        <v>2350-fényes fekete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3000-fényes fekete</v>
      </c>
      <c r="D258" s="2">
        <v>405423</v>
      </c>
      <c r="E258" s="48" t="str">
        <f>+VLOOKUP(A258,cennik!A:G,2,FALSE)</f>
        <v>SEVROLL05177  Gemini felső vezetés 3m fényes fekete</v>
      </c>
      <c r="F258" s="48" t="str">
        <f>+VLOOKUP(A258,cennik!A:B,2,FALSE)</f>
        <v>SEVROLL05177  Gemini felső vezetés 3m fényes fekete</v>
      </c>
      <c r="H258" s="1">
        <v>3000</v>
      </c>
      <c r="I258" s="1" t="str">
        <f>CONCATENATE(H258,"-",J16)</f>
        <v>3000-fényes fekete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4050-fényes fekete</v>
      </c>
      <c r="D259" s="2">
        <v>405425</v>
      </c>
      <c r="E259" s="48" t="str">
        <f>+VLOOKUP(A259,cennik!A:G,2,FALSE)</f>
        <v>SEVROLL 05178 Gemini felső vezetés 4,05m fényes fekete</v>
      </c>
      <c r="F259" s="48" t="str">
        <f>+VLOOKUP(A259,cennik!A:B,2,FALSE)</f>
        <v>SEVROLL 05178 Gemini felső vezetés 4,05m fényes fekete</v>
      </c>
      <c r="H259" s="1">
        <v>4050</v>
      </c>
      <c r="I259" s="1" t="str">
        <f>CONCATENATE(H259,"-",J16)</f>
        <v>4050-fényes fekete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6000-fényes fekete</v>
      </c>
      <c r="D260" s="2">
        <v>405426</v>
      </c>
      <c r="E260" s="48" t="str">
        <f>+VLOOKUP(A260,cennik!A:G,2,FALSE)</f>
        <v>SEVROLL Gemini felső vezetés 6m fényes fekete</v>
      </c>
      <c r="F260" s="48" t="str">
        <f>+VLOOKUP(A260,cennik!A:B,2,FALSE)</f>
        <v>SEVROLL Gemini felső vezetés 6m fényes fekete</v>
      </c>
      <c r="H260" s="1">
        <v>6000</v>
      </c>
      <c r="I260" s="1" t="str">
        <f>CONCATENATE(H260,"-",J16)</f>
        <v>6000-fényes fekete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felső vezetés 1,7m grafit</v>
      </c>
      <c r="F261" s="48" t="str">
        <f>+VLOOKUP(A261,cennik!A:B,2,FALSE)</f>
        <v>SEVROLL 06045 Gemini felső vezetés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felső vezetés 2,35m grafit</v>
      </c>
      <c r="F262" s="48" t="str">
        <f>+VLOOKUP(A262,cennik!A:B,2,FALSE)</f>
        <v>SEVROLL 06046 Gemini felső vezetés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felső vezetés 3m grafit</v>
      </c>
      <c r="F263" s="48" t="str">
        <f>+VLOOKUP(A263,cennik!A:B,2,FALSE)</f>
        <v>SEVROLL 06022 Gemini felső vezetés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felső vezetés 4,05m grafit</v>
      </c>
      <c r="F264" s="48" t="str">
        <f>+VLOOKUP(A264,cennik!A:B,2,FALSE)</f>
        <v>SEVROLL 06023 Gemini felső vezetés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felső vezetés 6m grafit</v>
      </c>
      <c r="F265" s="48" t="str">
        <f>+VLOOKUP(A265,cennik!A:B,2,FALSE)</f>
        <v>SEVROLL 06047 Gemini felső vezetés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1700-matt fehér</v>
      </c>
      <c r="D266" s="1">
        <v>394802</v>
      </c>
      <c r="E266" s="48" t="str">
        <f>+VLOOKUP(A266,cennik!A:G,2,FALSE)</f>
        <v>SEVROLL 05082 Gemini felső vezetés 1,7m matt fehér</v>
      </c>
      <c r="F266" s="48" t="str">
        <f>+VLOOKUP(A266,cennik!A:B,2,FALSE)</f>
        <v>SEVROLL 05082 Gemini felső vezetés 1,7m matt fehér</v>
      </c>
      <c r="H266" s="1">
        <v>1700</v>
      </c>
      <c r="I266" s="1" t="str">
        <f>CONCATENATE(H266,"-",J18)</f>
        <v>1700-matt fehér</v>
      </c>
    </row>
    <row r="267" spans="1:26" ht="15" customHeight="1" x14ac:dyDescent="0.3">
      <c r="A267" s="1">
        <v>394813</v>
      </c>
      <c r="C267" s="1" t="str">
        <f>CONCATENATE(H267,"-",J18)</f>
        <v>2350-matt fehér</v>
      </c>
      <c r="D267" s="1">
        <v>394813</v>
      </c>
      <c r="E267" s="48" t="str">
        <f>+VLOOKUP(A267,cennik!A:G,2,FALSE)</f>
        <v>SEVROLL05172  Gemini felső vezetés 2,35m matt fehér</v>
      </c>
      <c r="F267" s="48" t="str">
        <f>+VLOOKUP(A267,cennik!A:B,2,FALSE)</f>
        <v>SEVROLL05172  Gemini felső vezetés 2,35m matt fehér</v>
      </c>
      <c r="H267" s="1">
        <v>2350</v>
      </c>
      <c r="I267" s="1" t="str">
        <f>CONCATENATE(H267,"-",J18)</f>
        <v>2350-matt fehér</v>
      </c>
    </row>
    <row r="268" spans="1:26" ht="15" customHeight="1" x14ac:dyDescent="0.3">
      <c r="A268" s="1">
        <v>233016</v>
      </c>
      <c r="C268" s="1" t="str">
        <f>CONCATENATE(H268,"-",J18)</f>
        <v>3000-matt fehér</v>
      </c>
      <c r="D268" s="1">
        <v>233016</v>
      </c>
      <c r="E268" s="48" t="str">
        <f>+VLOOKUP(A268,cennik!A:G,2,FALSE)</f>
        <v>SEVROLL 03889Gemini felső vezetés 3m fehér matt</v>
      </c>
      <c r="F268" s="48" t="str">
        <f>+VLOOKUP(A268,cennik!A:B,2,FALSE)</f>
        <v>SEVROLL 03889Gemini felső vezetés 3m fehér matt</v>
      </c>
      <c r="H268" s="1">
        <v>3000</v>
      </c>
      <c r="I268" s="1" t="str">
        <f>CONCATENATE(H268,"-",J18)</f>
        <v>3000-matt fehér</v>
      </c>
    </row>
    <row r="269" spans="1:26" ht="15" customHeight="1" x14ac:dyDescent="0.3">
      <c r="A269" s="1">
        <v>394815</v>
      </c>
      <c r="C269" s="1" t="str">
        <f>CONCATENATE(H269,"-",J18)</f>
        <v>4050-matt fehér</v>
      </c>
      <c r="D269" s="1">
        <v>394815</v>
      </c>
      <c r="E269" s="48" t="str">
        <f>+VLOOKUP(A269,cennik!A:G,2,FALSE)</f>
        <v>SEVROLL 05173 Gemini felső vezetés 4,05m matt fehér</v>
      </c>
      <c r="F269" s="48" t="str">
        <f>+VLOOKUP(A269,cennik!A:B,2,FALSE)</f>
        <v>SEVROLL 05173 Gemini felső vezetés 4,05m matt fehér</v>
      </c>
      <c r="H269" s="1">
        <v>4050</v>
      </c>
      <c r="I269" s="1" t="str">
        <f>CONCATENATE(H269,"-",J18)</f>
        <v>4050-matt fehér</v>
      </c>
    </row>
    <row r="270" spans="1:26" ht="15" customHeight="1" x14ac:dyDescent="0.3">
      <c r="A270" s="1">
        <v>394824</v>
      </c>
      <c r="C270" s="1" t="str">
        <f>CONCATENATE(H270,"-",J18)</f>
        <v>6000-matt fehér</v>
      </c>
      <c r="D270" s="1">
        <v>394824</v>
      </c>
      <c r="E270" s="48" t="str">
        <f>+VLOOKUP(A270,cennik!A:G,2,FALSE)</f>
        <v>SEVROLL Gemini felső vezetés 6m matt fehér</v>
      </c>
      <c r="F270" s="48" t="str">
        <f>+VLOOKUP(A270,cennik!A:B,2,FALSE)</f>
        <v>SEVROLL Gemini felső vezetés 6m matt fehér</v>
      </c>
      <c r="H270" s="1">
        <v>6000</v>
      </c>
      <c r="I270" s="1" t="str">
        <f>CONCATENATE(H270,"-",J18)</f>
        <v>6000-matt fehér</v>
      </c>
    </row>
    <row r="271" spans="1:26" ht="15" customHeight="1" x14ac:dyDescent="0.3">
      <c r="A271" s="1">
        <v>422008</v>
      </c>
      <c r="C271" s="1" t="str">
        <f>CONCATENATE(H271,"-",J17)</f>
        <v>1700-matt feket</v>
      </c>
      <c r="D271" s="1">
        <v>422008</v>
      </c>
      <c r="E271" s="48" t="str">
        <f>+VLOOKUP(A271,cennik!A:G,2,FALSE)</f>
        <v>SEVROLL 05313 Gemini felső vezetés 1,7m matt fekete</v>
      </c>
      <c r="F271" s="48" t="str">
        <f>+VLOOKUP(A271,cennik!A:B,2,FALSE)</f>
        <v>SEVROLL 05313 Gemini felső vezetés 1,7m matt fekete</v>
      </c>
      <c r="H271" s="1">
        <v>1700</v>
      </c>
      <c r="I271" s="1" t="str">
        <f>CONCATENATE(H271,"-",J17)</f>
        <v>1700-matt feket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2350-matt feket</v>
      </c>
      <c r="D272" s="1">
        <v>409670</v>
      </c>
      <c r="E272" s="48" t="str">
        <f>+VLOOKUP(A272,cennik!A:G,2,FALSE)</f>
        <v>SEVROLL 05314 Gemini felső vezetés 2,35m matt fekete</v>
      </c>
      <c r="F272" s="48" t="str">
        <f>+VLOOKUP(A272,cennik!A:B,2,FALSE)</f>
        <v>SEVROLL 05314 Gemini felső vezetés 2,35m matt fekete</v>
      </c>
      <c r="H272" s="1">
        <v>2350</v>
      </c>
      <c r="I272" s="1" t="str">
        <f>CONCATENATE(H272,"-",J17)</f>
        <v>2350-matt feket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3000-matt feket</v>
      </c>
      <c r="D273" s="1">
        <v>412229</v>
      </c>
      <c r="E273" s="48" t="str">
        <f>+VLOOKUP(A273,cennik!A:G,2,FALSE)</f>
        <v>SEVROLL 05315 Gemini felső vezetés 3m matt fekete</v>
      </c>
      <c r="F273" s="48" t="str">
        <f>+VLOOKUP(A273,cennik!A:B,2,FALSE)</f>
        <v>SEVROLL 05315 Gemini felső vezetés 3m matt fekete</v>
      </c>
      <c r="H273" s="1">
        <v>3000</v>
      </c>
      <c r="I273" s="1" t="str">
        <f>CONCATENATE(H273,"-",J17)</f>
        <v>3000-matt feket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6000-matt feket</v>
      </c>
      <c r="D274" s="2">
        <v>452736</v>
      </c>
      <c r="E274" s="48" t="str">
        <f>+VLOOKUP(A274,cennik!A:G,2,FALSE)</f>
        <v>SEVROLL Gemini felső vezetés 6m matt fekete</v>
      </c>
      <c r="F274" s="48" t="str">
        <f>+VLOOKUP(A274,cennik!A:B,2,FALSE)</f>
        <v>SEVROLL Gemini felső vezetés 6m matt fekete</v>
      </c>
      <c r="H274" s="1">
        <v>6000</v>
      </c>
      <c r="I274" s="1" t="str">
        <f>CONCATENATE(H274,"-",J17)</f>
        <v>6000-matt feket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1700-fekete szerkezeti</v>
      </c>
      <c r="D275" s="196">
        <v>526516</v>
      </c>
      <c r="E275" s="48" t="str">
        <f>+VLOOKUP(A275,cennik!A:G,2,FALSE)</f>
        <v>SEVROLL 06285 Gemini felső vezetés 1,7m fekete szerkezeti</v>
      </c>
      <c r="F275" s="48" t="str">
        <f>+VLOOKUP(A275,cennik!A:B,2,FALSE)</f>
        <v>SEVROLL 06285 Gemini felső vezetés 1,7m fekete szerkezeti</v>
      </c>
      <c r="H275" s="1">
        <v>1700</v>
      </c>
      <c r="I275" s="1" t="str">
        <f>CONCATENATE(H275,"-",J22)</f>
        <v>1700-fekete szerkezeti</v>
      </c>
    </row>
    <row r="276" spans="1:26" ht="15" customHeight="1" x14ac:dyDescent="0.3">
      <c r="A276" s="196">
        <v>526519</v>
      </c>
      <c r="C276" s="1" t="str">
        <f>CONCATENATE(H276,"-",J22)</f>
        <v>2350-fekete szerkezeti</v>
      </c>
      <c r="D276" s="196">
        <v>526519</v>
      </c>
      <c r="E276" s="48" t="str">
        <f>+VLOOKUP(A276,cennik!A:G,2,FALSE)</f>
        <v>SEVROLL 06286 Gemini felső vezetés 2,35m  fekete szerkezeti</v>
      </c>
      <c r="F276" s="48" t="str">
        <f>+VLOOKUP(A276,cennik!A:B,2,FALSE)</f>
        <v>SEVROLL 06286 Gemini felső vezetés 2,35m  fekete szerkezeti</v>
      </c>
      <c r="H276" s="1">
        <v>2350</v>
      </c>
      <c r="I276" s="1" t="str">
        <f>CONCATENATE(H276,"-",J22)</f>
        <v>2350-fekete szerkezeti</v>
      </c>
    </row>
    <row r="277" spans="1:26" ht="15" customHeight="1" x14ac:dyDescent="0.3">
      <c r="A277" s="196">
        <v>526520</v>
      </c>
      <c r="C277" s="1" t="str">
        <f>CONCATENATE(H277,"-",J22)</f>
        <v>3000-fekete szerkezeti</v>
      </c>
      <c r="D277" s="196">
        <v>526520</v>
      </c>
      <c r="E277" s="48" t="str">
        <f>+VLOOKUP(A277,cennik!A:G,2,FALSE)</f>
        <v>SEVROLL 06287 Gemini felső vezetés 3m fekete szerkezeti</v>
      </c>
      <c r="F277" s="48" t="str">
        <f>+VLOOKUP(A277,cennik!A:B,2,FALSE)</f>
        <v>SEVROLL 06287 Gemini felső vezetés 3m fekete szerkezeti</v>
      </c>
      <c r="H277" s="1">
        <v>3000</v>
      </c>
      <c r="I277" s="1" t="str">
        <f>CONCATENATE(H277,"-",J22)</f>
        <v>3000-fekete szerkezeti</v>
      </c>
    </row>
    <row r="278" spans="1:26" ht="15" customHeight="1" x14ac:dyDescent="0.3">
      <c r="A278" s="196">
        <v>526521</v>
      </c>
      <c r="C278" s="1" t="str">
        <f>CONCATENATE(H278,"-",J22)</f>
        <v>4050-fekete szerkezeti</v>
      </c>
      <c r="D278" s="196">
        <v>526521</v>
      </c>
      <c r="E278" s="48" t="str">
        <f>+VLOOKUP(A278,cennik!A:G,2,FALSE)</f>
        <v>SEVROLL 06288  Gemini felső vezetés 4,05m fekete szerkezeti</v>
      </c>
      <c r="F278" s="48" t="str">
        <f>+VLOOKUP(A278,cennik!A:B,2,FALSE)</f>
        <v>SEVROLL 06288  Gemini felső vezetés 4,05m fekete szerkezeti</v>
      </c>
      <c r="H278" s="1">
        <v>4050</v>
      </c>
      <c r="I278" s="1" t="str">
        <f>CONCATENATE(H278,"-",J22)</f>
        <v>4050-fekete szerkezeti</v>
      </c>
    </row>
    <row r="279" spans="1:26" ht="15" customHeight="1" x14ac:dyDescent="0.3">
      <c r="A279" s="196">
        <v>526522</v>
      </c>
      <c r="C279" s="1" t="str">
        <f>CONCATENATE(H279,"-",J22)</f>
        <v>6000-fekete szerkezeti</v>
      </c>
      <c r="D279" s="196">
        <v>526522</v>
      </c>
      <c r="E279" s="48" t="str">
        <f>+VLOOKUP(A279,cennik!A:G,2,FALSE)</f>
        <v>SEVROLL 06154 Gemini felső vezetés 6m fekete szerkezeti</v>
      </c>
      <c r="F279" s="48" t="str">
        <f>+VLOOKUP(A279,cennik!A:B,2,FALSE)</f>
        <v>SEVROLL 06154 Gemini felső vezetés 6m fekete szerkezeti</v>
      </c>
      <c r="H279" s="1">
        <v>6000</v>
      </c>
      <c r="I279" s="1" t="str">
        <f>CONCATENATE(H279,"-",J22)</f>
        <v>6000-fekete szerkezeti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3000-matt fehér</v>
      </c>
      <c r="D280" s="436">
        <v>233016</v>
      </c>
      <c r="E280" s="48" t="str">
        <f>+VLOOKUP(A280,cennik!A:G,2,FALSE)</f>
        <v>SEVROLL 03889Gemini felső vezetés 3m fehér matt</v>
      </c>
      <c r="F280" s="48" t="str">
        <f>+VLOOKUP(A280,cennik!A:B,2,FALSE)</f>
        <v>SEVROLL 03889Gemini felső vezetés 3m fehér matt</v>
      </c>
      <c r="H280" s="437">
        <v>3000</v>
      </c>
      <c r="I280" s="1" t="str">
        <f>CONCATENATE(H280,"-",J18)</f>
        <v>3000-matt fehér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1700-matt fehér</v>
      </c>
      <c r="D281" s="436">
        <v>394802</v>
      </c>
      <c r="E281" s="48" t="str">
        <f>+VLOOKUP(A281,cennik!A:G,2,FALSE)</f>
        <v>SEVROLL 05082 Gemini felső vezetés 1,7m matt fehér</v>
      </c>
      <c r="F281" s="48" t="str">
        <f>+VLOOKUP(A281,cennik!A:B,2,FALSE)</f>
        <v>SEVROLL 05082 Gemini felső vezetés 1,7m matt fehér</v>
      </c>
      <c r="H281" s="437">
        <v>1700</v>
      </c>
      <c r="I281" s="1" t="str">
        <f>CONCATENATE(H281,"-",J18)</f>
        <v>1700-matt fehér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2350-matt fehér</v>
      </c>
      <c r="D282" s="436">
        <v>394813</v>
      </c>
      <c r="E282" s="48" t="str">
        <f>+VLOOKUP(A282,cennik!A:G,2,FALSE)</f>
        <v>SEVROLL05172  Gemini felső vezetés 2,35m matt fehér</v>
      </c>
      <c r="F282" s="48" t="str">
        <f>+VLOOKUP(A282,cennik!A:B,2,FALSE)</f>
        <v>SEVROLL05172  Gemini felső vezetés 2,35m matt fehér</v>
      </c>
      <c r="H282" s="437">
        <v>2350</v>
      </c>
      <c r="I282" s="1" t="str">
        <f>CONCATENATE(H282,"-",J18)</f>
        <v>2350-matt fehér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4050-matt fehér</v>
      </c>
      <c r="D283" s="436">
        <v>394815</v>
      </c>
      <c r="E283" s="48" t="str">
        <f>+VLOOKUP(A283,cennik!A:G,2,FALSE)</f>
        <v>SEVROLL 05173 Gemini felső vezetés 4,05m matt fehér</v>
      </c>
      <c r="F283" s="48" t="str">
        <f>+VLOOKUP(A283,cennik!A:B,2,FALSE)</f>
        <v>SEVROLL 05173 Gemini felső vezetés 4,05m matt fehér</v>
      </c>
      <c r="H283" s="437">
        <v>4050</v>
      </c>
      <c r="I283" s="1" t="str">
        <f>CONCATENATE(H283,"-",J18)</f>
        <v>4050-matt fehér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6000-matt fehér</v>
      </c>
      <c r="D284" s="436">
        <v>394824</v>
      </c>
      <c r="E284" s="48" t="str">
        <f>+VLOOKUP(A284,cennik!A:G,2,FALSE)</f>
        <v>SEVROLL Gemini felső vezetés 6m matt fehér</v>
      </c>
      <c r="F284" s="48" t="str">
        <f>+VLOOKUP(A284,cennik!A:B,2,FALSE)</f>
        <v>SEVROLL Gemini felső vezetés 6m matt fehér</v>
      </c>
      <c r="H284" s="437">
        <v>6000</v>
      </c>
      <c r="I284" s="1" t="str">
        <f>CONCATENATE(H284,"-",J18)</f>
        <v>6000-matt fehér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1500-ezüst</v>
      </c>
      <c r="D291" s="49">
        <v>349796</v>
      </c>
      <c r="E291" s="48" t="str">
        <f>+VLOOKUP(A291,cennik!A:G,2,FALSE)</f>
        <v>SEVROLL Blue felső vezetés 1,5m ezüst</v>
      </c>
      <c r="F291" s="48" t="str">
        <f>+VLOOKUP(A291,cennik!A:B,2,FALSE)</f>
        <v>SEVROLL Blue felső vezetés 1,5m ezüst</v>
      </c>
      <c r="H291" s="1">
        <v>1500</v>
      </c>
      <c r="I291" s="1" t="str">
        <f>CONCATENATE(H291,"-",J4)</f>
        <v>1500-ezüst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2000-ezüst</v>
      </c>
      <c r="D292" s="49">
        <v>349475</v>
      </c>
      <c r="E292" s="48" t="str">
        <f>+VLOOKUP(A292,cennik!A:G,2,FALSE)</f>
        <v>SEVROLL  04472  Blue felső vezetés 2m ezüst</v>
      </c>
      <c r="F292" s="48" t="str">
        <f>+VLOOKUP(A292,cennik!A:B,2,FALSE)</f>
        <v>SEVROLL  04472  Blue felső vezetés 2m ezüst</v>
      </c>
      <c r="G292" s="1" t="e">
        <f>+VLOOKUP(A292,#REF!,4,FALSE)</f>
        <v>#REF!</v>
      </c>
      <c r="H292" s="1">
        <v>2000</v>
      </c>
      <c r="I292" s="1" t="str">
        <f>CONCATENATE(H292,"-",J4)</f>
        <v>2000-ezüst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3000-ezüst</v>
      </c>
      <c r="D293" s="49">
        <v>349802</v>
      </c>
      <c r="E293" s="48" t="str">
        <f>+VLOOKUP(A293,cennik!A:G,2,FALSE)</f>
        <v>SEVROLL  04474 Blue felső vezetés 3m ezüst</v>
      </c>
      <c r="F293" s="48" t="str">
        <f>+VLOOKUP(A293,cennik!A:B,2,FALSE)</f>
        <v>SEVROLL  04474 Blue felső vezetés 3m ezüst</v>
      </c>
      <c r="H293" s="1">
        <v>3000</v>
      </c>
      <c r="I293" s="1" t="str">
        <f>CONCATENATE(H293,"-",J4)</f>
        <v>3000-ezüst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4000-ezüst</v>
      </c>
      <c r="D294" s="49">
        <v>349804</v>
      </c>
      <c r="E294" s="48" t="str">
        <f>+VLOOKUP(A294,cennik!A:G,2,FALSE)</f>
        <v>SEVROLL  04475 Blue felső vezetés 4m ezüst</v>
      </c>
      <c r="F294" s="48" t="str">
        <f>+VLOOKUP(A294,cennik!A:B,2,FALSE)</f>
        <v>SEVROLL  04475 Blue felső vezetés 4m ezüst</v>
      </c>
      <c r="H294" s="1">
        <v>4000</v>
      </c>
      <c r="I294" s="1" t="str">
        <f>CONCATENATE(H294,"-",J4)</f>
        <v>4000-ezüst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6000-ezüst</v>
      </c>
      <c r="D295" s="49">
        <v>349807</v>
      </c>
      <c r="E295" s="48" t="str">
        <f>+VLOOKUP(A295,cennik!A:G,2,FALSE)</f>
        <v>SEVROLL  04476  Blue felső vezetés 6m ezüst</v>
      </c>
      <c r="F295" s="48" t="str">
        <f>+VLOOKUP(A295,cennik!A:B,2,FALSE)</f>
        <v>SEVROLL  04476  Blue felső vezetés 6m ezüst</v>
      </c>
      <c r="H295" s="1">
        <v>6000</v>
      </c>
      <c r="I295" s="1" t="str">
        <f>CONCATENATE(H295,"-",J4)</f>
        <v>6000-ezüst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Blue felső vezetés 1,5m oliva</v>
      </c>
      <c r="F296" s="48" t="str">
        <f>+VLOOKUP(A296,cennik!A:B,2,FALSE)</f>
        <v>SEVROLL Blue felső vezetés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 04466 Blue felső vezetés 2m oliva</v>
      </c>
      <c r="F297" s="48" t="str">
        <f>+VLOOKUP(A297,cennik!A:B,2,FALSE)</f>
        <v>SEVROLL  04466 Blue felső vezetés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 04468 Blue felső vezetés 3m oliva</v>
      </c>
      <c r="F298" s="48" t="str">
        <f>+VLOOKUP(A298,cennik!A:B,2,FALSE)</f>
        <v>SEVROLL  04468 Blue felső vezetés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2000-matt feket</v>
      </c>
      <c r="D299" s="2">
        <v>488266</v>
      </c>
      <c r="E299" s="48" t="str">
        <f>+VLOOKUP(A299,cennik!A:G,2,FALSE)</f>
        <v>SEVROLL 05754 Blue felső vezetés 2m fekete matt</v>
      </c>
      <c r="F299" s="48" t="str">
        <f>+VLOOKUP(A299,cennik!A:B,2,FALSE)</f>
        <v>SEVROLL 05754 Blue felső vezetés 2m fekete matt</v>
      </c>
      <c r="H299" s="1">
        <v>2000</v>
      </c>
      <c r="I299" s="1" t="str">
        <f>CONCATENATE(H299,"-",J17)</f>
        <v>2000-matt feket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3000-matt feket</v>
      </c>
      <c r="D300" s="2">
        <v>488267</v>
      </c>
      <c r="E300" s="48" t="str">
        <f>+VLOOKUP(A300,cennik!A:G,2,FALSE)</f>
        <v>SEVROLL 05755 Blue felső vezetés 6m fekete matt</v>
      </c>
      <c r="F300" s="48" t="str">
        <f>+VLOOKUP(A300,cennik!A:B,2,FALSE)</f>
        <v>SEVROLL 05755 Blue felső vezetés 6m fekete matt</v>
      </c>
      <c r="H300" s="1">
        <v>3000</v>
      </c>
      <c r="I300" s="1" t="str">
        <f>CONCATENATE(H300,"-",J17)</f>
        <v>3000-matt feket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6000-matt feket</v>
      </c>
      <c r="D301" s="2">
        <v>488268</v>
      </c>
      <c r="E301" s="48" t="str">
        <f>+VLOOKUP(A301,cennik!A:G,2,FALSE)</f>
        <v>SEVROLL 05756 Blue felső vezetés 3m fekete matt</v>
      </c>
      <c r="F301" s="48" t="str">
        <f>+VLOOKUP(A301,cennik!A:B,2,FALSE)</f>
        <v>SEVROLL 05756 Blue felső vezetés 3m fekete matt</v>
      </c>
      <c r="H301" s="1">
        <v>6000</v>
      </c>
      <c r="I301" s="1" t="str">
        <f>CONCATENATE(H301,"-",J17)</f>
        <v>6000-matt feket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1500-matt feket</v>
      </c>
      <c r="D302" s="2">
        <v>488266</v>
      </c>
      <c r="E302" s="48" t="str">
        <f>+VLOOKUP(A302,cennik!A:G,2,FALSE)</f>
        <v>SEVROLL 05754 Blue felső vezetés 2m fekete matt</v>
      </c>
      <c r="F302" s="48" t="str">
        <f>+VLOOKUP(A302,cennik!A:B,2,FALSE)</f>
        <v>SEVROLL 05754 Blue felső vezetés 2m fekete matt</v>
      </c>
      <c r="H302" s="1">
        <v>1500</v>
      </c>
      <c r="I302" s="1" t="str">
        <f>CONCATENATE(H302,"-",J17)</f>
        <v>1500-matt feket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1500-fehér fényes</v>
      </c>
      <c r="D303" s="434">
        <v>394287</v>
      </c>
      <c r="E303" s="432" t="str">
        <f>+VLOOKUP(A303,cennik!A:G,2,FALSE)</f>
        <v>SEVROLL 04937 Blue felső vezetés 2m fehér fényes</v>
      </c>
      <c r="F303" s="432" t="str">
        <f>+VLOOKUP(A303,cennik!A:B,2,FALSE)</f>
        <v>SEVROLL 04937 Blue felső vezetés 2m fehér fényes</v>
      </c>
      <c r="G303" s="434"/>
      <c r="H303" s="434">
        <v>1500</v>
      </c>
      <c r="I303" s="434" t="str">
        <f>CONCATENATE(H303,"-",J15)</f>
        <v>1500-fehér fényes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2000-fehér fényes</v>
      </c>
      <c r="D304" s="434">
        <v>394287</v>
      </c>
      <c r="E304" s="432" t="str">
        <f>+VLOOKUP(A304,cennik!A:G,2,FALSE)</f>
        <v>SEVROLL 04937 Blue felső vezetés 2m fehér fényes</v>
      </c>
      <c r="F304" s="432" t="str">
        <f>+VLOOKUP(A304,cennik!A:B,2,FALSE)</f>
        <v>SEVROLL 04937 Blue felső vezetés 2m fehér fényes</v>
      </c>
      <c r="G304" s="434"/>
      <c r="H304" s="434">
        <v>2000</v>
      </c>
      <c r="I304" s="434" t="str">
        <f>CONCATENATE(H304,"-",J15)</f>
        <v>2000-fehér fényes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3000-fehér fényes</v>
      </c>
      <c r="D305" s="434">
        <v>394289</v>
      </c>
      <c r="E305" s="432" t="str">
        <f>+VLOOKUP(A305,cennik!A:G,2,FALSE)</f>
        <v>SEVROLL 04938 Blue felső vezetés 6m fehér fényes</v>
      </c>
      <c r="F305" s="432" t="str">
        <f>+VLOOKUP(A305,cennik!A:B,2,FALSE)</f>
        <v>SEVROLL 04938 Blue felső vezetés 6m fehér fényes</v>
      </c>
      <c r="G305" s="434"/>
      <c r="H305" s="434">
        <v>3000</v>
      </c>
      <c r="I305" s="434" t="str">
        <f>CONCATENATE(H305,"-",J15)</f>
        <v>3000-fehér fényes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6000-fehér fényes</v>
      </c>
      <c r="D306" s="434">
        <v>394290</v>
      </c>
      <c r="E306" s="432" t="str">
        <f>+VLOOKUP(A306,cennik!A:G,2,FALSE)</f>
        <v>SEVROLL Blue felső vezetés 3m fehér fényes</v>
      </c>
      <c r="F306" s="432" t="str">
        <f>+VLOOKUP(A306,cennik!A:B,2,FALSE)</f>
        <v>SEVROLL Blue felső vezetés 3m fehér fényes</v>
      </c>
      <c r="G306" s="434"/>
      <c r="H306" s="434">
        <v>6000</v>
      </c>
      <c r="I306" s="434" t="str">
        <f>CONCATENATE(H306,"-",J15)</f>
        <v>6000-fehér fényes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felső vezetés 4m oliva</v>
      </c>
      <c r="F307" s="48" t="str">
        <f>+VLOOKUP(A307,cennik!A:B,2,FALSE)</f>
        <v>SEVROLL 04469 Blue felső vezetés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04469-M Blue felső vezetés 6m oliva</v>
      </c>
      <c r="F308" s="48" t="str">
        <f>+VLOOKUP(A308,cennik!A:B,2,FALSE)</f>
        <v>SEVROLL 04469-M Blue felső vezetés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1500-ezüst</v>
      </c>
      <c r="D311" s="49">
        <v>349810</v>
      </c>
      <c r="E311" s="48" t="str">
        <f>+VLOOKUP(A311,cennik!A:G,2,FALSE)</f>
        <v>SEVROLL Blue-V alsó vezetés 1,5m ezüst</v>
      </c>
      <c r="F311" s="48" t="str">
        <f>+VLOOKUP(A311,cennik!A:B,2,FALSE)</f>
        <v>SEVROLL Blue-V alsó vezetés 1,5m ezüst</v>
      </c>
      <c r="H311" s="1">
        <v>1500</v>
      </c>
      <c r="I311" s="1" t="str">
        <f>CONCATENATE(H311,"-",J4)</f>
        <v>1500-ezüst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2000-ezüst</v>
      </c>
      <c r="D312" s="49">
        <v>349476</v>
      </c>
      <c r="E312" s="48" t="str">
        <f>+VLOOKUP(A312,cennik!A:G,2,FALSE)</f>
        <v>SEVROLL  04496  Blue-V alsó vezetés 2m ezüst</v>
      </c>
      <c r="F312" s="48" t="str">
        <f>+VLOOKUP(A312,cennik!A:B,2,FALSE)</f>
        <v>SEVROLL  04496  Blue-V alsó vezetés 2m ezüst</v>
      </c>
      <c r="G312" s="1" t="e">
        <f>+VLOOKUP(A312,#REF!,4,FALSE)</f>
        <v>#REF!</v>
      </c>
      <c r="H312" s="1">
        <v>2000</v>
      </c>
      <c r="I312" s="1" t="str">
        <f>CONCATENATE(H312,"-",J4)</f>
        <v>2000-ezüst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3000-ezüst</v>
      </c>
      <c r="D313" s="49">
        <v>349814</v>
      </c>
      <c r="E313" s="48" t="str">
        <f>+VLOOKUP(A313,cennik!A:G,2,FALSE)</f>
        <v>SEVROLL  04498 Blue-V alsó vezetés 3m ezüst</v>
      </c>
      <c r="F313" s="48" t="str">
        <f>+VLOOKUP(A313,cennik!A:B,2,FALSE)</f>
        <v>SEVROLL  04498 Blue-V alsó vezetés 3m ezüst</v>
      </c>
      <c r="H313" s="1">
        <v>3000</v>
      </c>
      <c r="I313" s="1" t="str">
        <f>CONCATENATE(H313,"-",J4)</f>
        <v>3000-ezüst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4000-ezüst</v>
      </c>
      <c r="D314" s="49">
        <v>349819</v>
      </c>
      <c r="E314" s="48" t="str">
        <f>+VLOOKUP(A314,cennik!A:G,2,FALSE)</f>
        <v>SEVROLL 04499  Blue-V alsó vezetés 4m ezüst</v>
      </c>
      <c r="F314" s="48" t="str">
        <f>+VLOOKUP(A314,cennik!A:B,2,FALSE)</f>
        <v>SEVROLL 04499  Blue-V alsó vezetés 4m ezüst</v>
      </c>
      <c r="H314" s="1">
        <v>4000</v>
      </c>
      <c r="I314" s="1" t="str">
        <f>CONCATENATE(H314,"-",J4)</f>
        <v>4000-ezüst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6000-ezüst</v>
      </c>
      <c r="D315" s="49">
        <v>349818</v>
      </c>
      <c r="E315" s="48" t="str">
        <f>+VLOOKUP(A315,cennik!A:G,2,FALSE)</f>
        <v>SEVROLL  04500 Blue-V alsó vezetés 6m ezüst</v>
      </c>
      <c r="F315" s="48" t="str">
        <f>+VLOOKUP(A315,cennik!A:B,2,FALSE)</f>
        <v>SEVROLL  04500 Blue-V alsó vezetés 6m ezüst</v>
      </c>
      <c r="H315" s="1">
        <v>6000</v>
      </c>
      <c r="I315" s="1" t="str">
        <f>CONCATENATE(H315,"-",J4)</f>
        <v>6000-ezüst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1500-matt feket</v>
      </c>
      <c r="D316" s="2">
        <v>488257</v>
      </c>
      <c r="E316" s="48" t="str">
        <f>+VLOOKUP(A316,cennik!A:G,2,FALSE)</f>
        <v>SEVROLL 05751 Blue-V alsó vezetés 2m fekete matt</v>
      </c>
      <c r="F316" s="48" t="str">
        <f>+VLOOKUP(A316,cennik!A:B,2,FALSE)</f>
        <v>SEVROLL 05751 Blue-V alsó vezetés 2m fekete matt</v>
      </c>
      <c r="H316" s="1">
        <v>1500</v>
      </c>
      <c r="I316" s="1" t="str">
        <f>CONCATENATE(H316,"-",J17)</f>
        <v>1500-matt feket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2000-matt feket</v>
      </c>
      <c r="D317" s="2">
        <v>488257</v>
      </c>
      <c r="E317" s="48" t="str">
        <f>+VLOOKUP(A317,cennik!A:G,2,FALSE)</f>
        <v>SEVROLL 05751 Blue-V alsó vezetés 2m fekete matt</v>
      </c>
      <c r="F317" s="48" t="str">
        <f>+VLOOKUP(A317,cennik!A:B,2,FALSE)</f>
        <v>SEVROLL 05751 Blue-V alsó vezetés 2m fekete matt</v>
      </c>
      <c r="H317" s="1">
        <v>2000</v>
      </c>
      <c r="I317" s="1" t="str">
        <f>CONCATENATE(H317,"-",J17)</f>
        <v>2000-matt feket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3000-matt feket</v>
      </c>
      <c r="D318" s="2">
        <v>488258</v>
      </c>
      <c r="E318" s="48" t="str">
        <f>+VLOOKUP(A318,cennik!A:G,2,FALSE)</f>
        <v>SEVROLL 05752 Blue-V alsó vezetés 3m fekete matt</v>
      </c>
      <c r="F318" s="48" t="str">
        <f>+VLOOKUP(A318,cennik!A:B,2,FALSE)</f>
        <v>SEVROLL 05752 Blue-V alsó vezetés 3m fekete matt</v>
      </c>
      <c r="H318" s="1">
        <v>3000</v>
      </c>
      <c r="I318" s="1" t="str">
        <f>CONCATENATE(H318,"-",J17)</f>
        <v>3000-matt feket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6000-matt feket</v>
      </c>
      <c r="D319" s="2">
        <v>488259</v>
      </c>
      <c r="E319" s="48" t="str">
        <f>+VLOOKUP(A319,cennik!A:G,2,FALSE)</f>
        <v>SEVROLL 05753 Blue-V alsó vezetés 6m fekete matt</v>
      </c>
      <c r="F319" s="48" t="str">
        <f>+VLOOKUP(A319,cennik!A:B,2,FALSE)</f>
        <v>SEVROLL 05753 Blue-V alsó vezetés 6m fekete matt</v>
      </c>
      <c r="H319" s="1">
        <v>6000</v>
      </c>
      <c r="I319" s="1" t="str">
        <f>CONCATENATE(H319,"-",J17)</f>
        <v>6000-matt feket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2000-fehér fényes</v>
      </c>
      <c r="D320" s="434">
        <v>394283</v>
      </c>
      <c r="E320" s="432" t="str">
        <f>+VLOOKUP(A320,cennik!A:G,2,FALSE)</f>
        <v>SEVROLL 04934 Blue-V alsó vezetés 2m fehér fényes</v>
      </c>
      <c r="F320" s="432" t="str">
        <f>+VLOOKUP(A320,cennik!A:B,2,FALSE)</f>
        <v>SEVROLL 04934 Blue-V alsó vezetés 2m fehér fényes</v>
      </c>
      <c r="G320" s="434"/>
      <c r="H320" s="434">
        <v>2000</v>
      </c>
      <c r="I320" s="434" t="str">
        <f>CONCATENATE(H320,"-",J15)</f>
        <v>2000-fehér fényes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3000-fehér fényes</v>
      </c>
      <c r="D321" s="434">
        <v>394284</v>
      </c>
      <c r="E321" s="432" t="str">
        <f>+VLOOKUP(A321,cennik!A:G,2,FALSE)</f>
        <v>SEVROLL 04935 Blue-V alsó vezetés 3m fehér fényes</v>
      </c>
      <c r="F321" s="432" t="str">
        <f>+VLOOKUP(A321,cennik!A:B,2,FALSE)</f>
        <v>SEVROLL 04935 Blue-V alsó vezetés 3m fehér fényes</v>
      </c>
      <c r="G321" s="434"/>
      <c r="H321" s="434">
        <v>3000</v>
      </c>
      <c r="I321" s="434" t="str">
        <f>CONCATENATE(H321,"-",J15)</f>
        <v>3000-fehér fényes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6000-fehér fényes</v>
      </c>
      <c r="D322" s="434">
        <v>394285</v>
      </c>
      <c r="E322" s="432" t="str">
        <f>+VLOOKUP(A322,cennik!A:G,2,FALSE)</f>
        <v>SEVROLL Blue-V alsó vezetés 6m fehér fényes</v>
      </c>
      <c r="F322" s="432" t="str">
        <f>+VLOOKUP(A322,cennik!A:B,2,FALSE)</f>
        <v>SEVROLL Blue-V alsó vezetés 6m fehér fényes</v>
      </c>
      <c r="G322" s="434"/>
      <c r="H322" s="434">
        <v>6000</v>
      </c>
      <c r="I322" s="434" t="str">
        <f>CONCATENATE(H322,"-",J15)</f>
        <v>6000-fehér fényes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1500-fehér fényes</v>
      </c>
      <c r="D323" s="434">
        <v>394283</v>
      </c>
      <c r="E323" s="432" t="str">
        <f>+VLOOKUP(A323,cennik!A:G,2,FALSE)</f>
        <v>SEVROLL 04934 Blue-V alsó vezetés 2m fehér fényes</v>
      </c>
      <c r="F323" s="432" t="str">
        <f>+VLOOKUP(A323,cennik!A:B,2,FALSE)</f>
        <v>SEVROLL 04934 Blue-V alsó vezetés 2m fehér fényes</v>
      </c>
      <c r="G323" s="434"/>
      <c r="H323" s="434">
        <v>1500</v>
      </c>
      <c r="I323" s="434" t="str">
        <f>CONCATENATE(H323,"-",J15)</f>
        <v>1500-fehér fényes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Blue-V alsó vezetés 1,5m oliva</v>
      </c>
      <c r="F324" s="48" t="str">
        <f>+VLOOKUP(A324,cennik!A:B,2,FALSE)</f>
        <v>SEVROLL Blue-V alsó vezetés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 04490 Blue-V alsó vezetés 2m oliva</v>
      </c>
      <c r="F325" s="48" t="str">
        <f>+VLOOKUP(A325,cennik!A:B,2,FALSE)</f>
        <v>SEVROLL  04490 Blue-V alsó vezetés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 04492 Blue-V alsó vezetés 3m oliva</v>
      </c>
      <c r="F326" s="48" t="str">
        <f>+VLOOKUP(A326,cennik!A:B,2,FALSE)</f>
        <v>SEVROLL  04492 Blue-V alsó vezetés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 Blue-V alsó vezetés 4m oliva</v>
      </c>
      <c r="F327" s="48" t="str">
        <f>+VLOOKUP(A327,cennik!A:B,2,FALSE)</f>
        <v>SEVROLL 04493  Blue-V alsó vezetés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Blue-V alsó vezetés 6m oliva</v>
      </c>
      <c r="F328" s="48" t="str">
        <f>+VLOOKUP(A328,cennik!A:B,2,FALSE)</f>
        <v>SEVROLL Blue-V alsó vezetés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ezüst</v>
      </c>
      <c r="D330" s="49">
        <v>98073</v>
      </c>
      <c r="E330" s="48" t="str">
        <f>+VLOOKUP(A330,cennik!A:G,2,FALSE)</f>
        <v>SEVROLL  02287 System 10 II fogantyú profil 2,7m ezüst</v>
      </c>
      <c r="F330" s="48" t="str">
        <f>+VLOOKUP(A330,cennik!A:B,2,FALSE)</f>
        <v>SEVROLL  02287 System 10 II fogantyú profil 2,7m ezüst</v>
      </c>
      <c r="G330" s="1" t="e">
        <f>+VLOOKUP(A330,#REF!,4,FALSE)</f>
        <v>#REF!</v>
      </c>
      <c r="I330" s="1" t="str">
        <f>J4</f>
        <v>ezüst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fogantyú profil 2,7m oliva</v>
      </c>
      <c r="F331" s="48" t="str">
        <f>+VLOOKUP(A331,cennik!A:B,2,FALSE)</f>
        <v>SEVROLL 02286 System 10 II fogantyú profil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arany/sárgaréz</v>
      </c>
      <c r="D332" s="49">
        <v>542874</v>
      </c>
      <c r="E332" s="48" t="str">
        <f>+VLOOKUP(A332,cennik!A:G,2,FALSE)</f>
        <v>SEVROLL 06821 System 10 II fogantyú profil 2,7m arany/sárgaréz</v>
      </c>
      <c r="F332" s="48" t="str">
        <f>+VLOOKUP(A332,cennik!A:B,2,FALSE)</f>
        <v>SEVROLL 06821 System 10 II fogantyú profil 2,7m arany/sárgaréz</v>
      </c>
      <c r="G332" s="1" t="e">
        <f>+VLOOKUP(A332,#REF!,4,FALSE)</f>
        <v>#REF!</v>
      </c>
      <c r="I332" s="1" t="str">
        <f>J5</f>
        <v>arany/sárgaréz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1700-ezüst</v>
      </c>
      <c r="D335" s="421">
        <v>89230</v>
      </c>
      <c r="E335" s="419" t="str">
        <f>+VLOOKUP(A335,cennik!A:G,2,FALSE)</f>
        <v>SEVROLL 02912 felső vezető profil 1,7m ezüst</v>
      </c>
      <c r="F335" s="419" t="str">
        <f>+VLOOKUP(A335,cennik!A:B,2,FALSE)</f>
        <v>SEVROLL 02912 felső vezető profil 1,7m ezüst</v>
      </c>
      <c r="G335" s="417" t="e">
        <f>+VLOOKUP(A335,#REF!,4,FALSE)</f>
        <v>#REF!</v>
      </c>
      <c r="H335" s="417">
        <v>1700</v>
      </c>
      <c r="I335" s="417" t="str">
        <f>CONCATENATE(H335,"-",J4)</f>
        <v>1700-ezüst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02908 felső vezető profil 1,7m oliva</v>
      </c>
      <c r="F336" s="419" t="str">
        <f>+VLOOKUP(A336,cennik!A:B,2,FALSE)</f>
        <v>SEVROLL 02908 felső vezető profil 1,7m oliva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1700-arany/sárgaréz</v>
      </c>
      <c r="D337" s="421">
        <v>542864</v>
      </c>
      <c r="E337" s="419" t="str">
        <f>+VLOOKUP(A337,cennik!A:G,2,FALSE)</f>
        <v>SEVROLL 06813 felső vezető profile 1,7m arany/sárgaréz</v>
      </c>
      <c r="F337" s="419" t="str">
        <f>+VLOOKUP(A337,cennik!A:B,2,FALSE)</f>
        <v>SEVROLL 06813 felső vezető profile 1,7m arany/sárgaréz</v>
      </c>
      <c r="G337" s="417" t="e">
        <f>+VLOOKUP(A337,#REF!,4,FALSE)</f>
        <v>#REF!</v>
      </c>
      <c r="H337" s="417">
        <v>1700</v>
      </c>
      <c r="I337" s="417" t="str">
        <f>CONCATENATE(H337,"-",J5)</f>
        <v>1700-arany/sárgaréz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2350-ezüst</v>
      </c>
      <c r="D338" s="421">
        <v>89232</v>
      </c>
      <c r="E338" s="419" t="str">
        <f>+VLOOKUP(A338,cennik!A:G,2,FALSE)</f>
        <v>SEVROLL 02913 felső vezető profil 2,35m ezüst</v>
      </c>
      <c r="F338" s="419" t="str">
        <f>+VLOOKUP(A338,cennik!A:B,2,FALSE)</f>
        <v>SEVROLL 02913 felső vezető profil 2,35m ezüst</v>
      </c>
      <c r="G338" s="417" t="e">
        <f>+VLOOKUP(A338,#REF!,4,FALSE)</f>
        <v>#REF!</v>
      </c>
      <c r="H338" s="417">
        <v>2350</v>
      </c>
      <c r="I338" s="417" t="str">
        <f>CONCATENATE(H338,"-",J4)</f>
        <v>2350-ezüst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02909 felső vezető profil 2,35m oliva</v>
      </c>
      <c r="F339" s="419" t="str">
        <f>+VLOOKUP(A339,cennik!A:B,2,FALSE)</f>
        <v>SEVROLL 02909 felső vezető profil 2,35m oliva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2350-arany/sárgaréz</v>
      </c>
      <c r="D340" s="421">
        <v>542865</v>
      </c>
      <c r="E340" s="419" t="str">
        <f>+VLOOKUP(A340,cennik!A:G,2,FALSE)</f>
        <v>SEVROLL 06811 felső vezető profil 2,35m arany/sárgaréz</v>
      </c>
      <c r="F340" s="419" t="str">
        <f>+VLOOKUP(A340,cennik!A:B,2,FALSE)</f>
        <v>SEVROLL 06811 felső vezető profil 2,35m arany/sárgaréz</v>
      </c>
      <c r="G340" s="417" t="e">
        <f>+VLOOKUP(A340,#REF!,4,FALSE)</f>
        <v>#REF!</v>
      </c>
      <c r="H340" s="417">
        <v>2350</v>
      </c>
      <c r="I340" s="417" t="str">
        <f>CONCATENATE(H340,"-",J5)</f>
        <v>2350-arany/sárgaréz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3000-ezüst</v>
      </c>
      <c r="D341" s="421">
        <v>89234</v>
      </c>
      <c r="E341" s="419" t="str">
        <f>+VLOOKUP(A341,cennik!A:G,2,FALSE)</f>
        <v>SEVROLL 02914 felső vezető profil 3m ezüst</v>
      </c>
      <c r="F341" s="419" t="str">
        <f>+VLOOKUP(A341,cennik!A:B,2,FALSE)</f>
        <v>SEVROLL 02914 felső vezető profil 3m ezüst</v>
      </c>
      <c r="G341" s="417" t="e">
        <f>+VLOOKUP(A341,#REF!,4,FALSE)</f>
        <v>#REF!</v>
      </c>
      <c r="H341" s="417">
        <v>3000</v>
      </c>
      <c r="I341" s="417" t="str">
        <f>CONCATENATE(H341,"-",J4)</f>
        <v>3000-ezüst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02910 felső vezető profil 3m oliva</v>
      </c>
      <c r="F342" s="419" t="str">
        <f>+VLOOKUP(A342,cennik!A:B,2,FALSE)</f>
        <v>SEVROLL 02910 felső vezető profil 3m oliva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3000-arany/sárgaréz</v>
      </c>
      <c r="D343" s="421">
        <v>542866</v>
      </c>
      <c r="E343" s="419" t="str">
        <f>+VLOOKUP(A343,cennik!A:G,2,FALSE)</f>
        <v>SEVROLL 06815 felső vezető profil 3m arany/sárgaréz</v>
      </c>
      <c r="F343" s="419" t="str">
        <f>+VLOOKUP(A343,cennik!A:B,2,FALSE)</f>
        <v>SEVROLL 06815 felső vezető profil 3m arany/sárgaréz</v>
      </c>
      <c r="G343" s="417" t="e">
        <f>+VLOOKUP(A343,#REF!,4,FALSE)</f>
        <v>#REF!</v>
      </c>
      <c r="H343" s="417">
        <v>3000</v>
      </c>
      <c r="I343" s="417" t="str">
        <f>CONCATENATE(H343,"-",J5)</f>
        <v>3000-arany/sárgaréz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4050-ezüst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4050-ezüst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4050-arany/sárgaréz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4050-arany/sárgaréz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1700-matt feket</v>
      </c>
      <c r="D347" s="421">
        <v>422043</v>
      </c>
      <c r="E347" s="419" t="str">
        <f>+VLOOKUP(A347,cennik!A:G,2,FALSE)</f>
        <v>SEVROLL felső vezető profil 1,7m matt fekete</v>
      </c>
      <c r="F347" s="419" t="str">
        <f>+VLOOKUP(A347,cennik!A:B,2,FALSE)</f>
        <v>SEVROLL felső vezető profil 1,7m matt fekete</v>
      </c>
      <c r="H347" s="417">
        <v>1700</v>
      </c>
      <c r="I347" s="417" t="str">
        <f>CONCATENATE(H347,"-",J17)</f>
        <v>1700-matt feket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2350-matt feket</v>
      </c>
      <c r="D348" s="421">
        <v>452608</v>
      </c>
      <c r="E348" s="419" t="str">
        <f>+VLOOKUP(A348,cennik!A:G,2,FALSE)</f>
        <v>SEVROLL felső vezető profil 2,35m matt fekete</v>
      </c>
      <c r="F348" s="419" t="str">
        <f>+VLOOKUP(A348,cennik!A:B,2,FALSE)</f>
        <v>SEVROLL felső vezető profil 2,35m matt fekete</v>
      </c>
      <c r="H348" s="417">
        <v>2350</v>
      </c>
      <c r="I348" s="417" t="str">
        <f>CONCATENATE(H348,"-",J17)</f>
        <v>2350-matt feket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3000-matt feket</v>
      </c>
      <c r="D349" s="421">
        <v>452734</v>
      </c>
      <c r="E349" s="419" t="str">
        <f>+VLOOKUP(A349,cennik!A:G,2,FALSE)</f>
        <v>SEVROLL felső vezető profil 3m matt fekete</v>
      </c>
      <c r="F349" s="419" t="str">
        <f>+VLOOKUP(A349,cennik!A:B,2,FALSE)</f>
        <v>SEVROLL felső vezető profil 3m matt fekete</v>
      </c>
      <c r="H349" s="417">
        <v>3000</v>
      </c>
      <c r="I349" s="417" t="str">
        <f>CONCATENATE(H349,"-",J17)</f>
        <v>3000-matt feket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1700-kefélt oliva</v>
      </c>
      <c r="D350" s="421">
        <v>119414</v>
      </c>
      <c r="E350" s="419" t="str">
        <f>+VLOOKUP(A350,cennik!A:G,2,FALSE)</f>
        <v>SEVROLL 03042-Y felső vezető profil 1,7m oliva szálcsiszolt</v>
      </c>
      <c r="F350" s="419" t="str">
        <f>+VLOOKUP(A350,cennik!A:B,2,FALSE)</f>
        <v>SEVROLL 03042-Y felső vezető profil 1,7m oliva szálcsiszolt</v>
      </c>
      <c r="G350" s="417" t="e">
        <f>+VLOOKUP(A350,#REF!,4,FALSE)</f>
        <v>#REF!</v>
      </c>
      <c r="H350" s="417">
        <v>1700</v>
      </c>
      <c r="I350" s="417" t="str">
        <f>CONCATENATE(H350,"-",J7)</f>
        <v>1700-kefélt oliva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2350-kefélt oliva</v>
      </c>
      <c r="D351" s="421">
        <v>119415</v>
      </c>
      <c r="E351" s="419" t="str">
        <f>+VLOOKUP(A351,cennik!A:G,2,FALSE)</f>
        <v>SEVROLL 03043-Y felső vezető profil 2,35m oliva szálcsiszolt</v>
      </c>
      <c r="F351" s="419" t="str">
        <f>+VLOOKUP(A351,cennik!A:B,2,FALSE)</f>
        <v>SEVROLL 03043-Y felső vezető profil 2,35m oliva szálcsiszolt</v>
      </c>
      <c r="G351" s="417" t="e">
        <f>+VLOOKUP(A351,#REF!,4,FALSE)</f>
        <v>#REF!</v>
      </c>
      <c r="H351" s="417">
        <v>2350</v>
      </c>
      <c r="I351" s="417" t="str">
        <f>CONCATENATE(H351,"-",J7)</f>
        <v>2350-kefélt oliva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3000-kefélt oliva</v>
      </c>
      <c r="D352" s="421">
        <v>119416</v>
      </c>
      <c r="E352" s="419" t="str">
        <f>+VLOOKUP(A352,cennik!A:G,2,FALSE)</f>
        <v>SEVROLL 03044-Y felső vezető profil 3m oliva szálcsiszolt</v>
      </c>
      <c r="F352" s="419" t="str">
        <f>+VLOOKUP(A352,cennik!A:B,2,FALSE)</f>
        <v>SEVROLL 03044-Y felső vezető profil 3m oliva szálcsiszolt</v>
      </c>
      <c r="G352" s="417" t="e">
        <f>+VLOOKUP(A352,#REF!,4,FALSE)</f>
        <v>#REF!</v>
      </c>
      <c r="H352" s="417">
        <v>3000</v>
      </c>
      <c r="I352" s="417" t="str">
        <f>CONCATENATE(H352,"-",J7)</f>
        <v>3000-kefélt oliva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1700-fekete szerkezeti</v>
      </c>
      <c r="D353" s="196">
        <v>526496</v>
      </c>
      <c r="E353" s="419" t="str">
        <f>+VLOOKUP(A353,cennik!A:G,2,FALSE)</f>
        <v>SEVROLL 06441  felső vezető profil 1,7m  fekete szerkezeti</v>
      </c>
      <c r="F353" s="419" t="str">
        <f>+VLOOKUP(A353,cennik!A:B,2,FALSE)</f>
        <v>SEVROLL 06441  felső vezető profil 1,7m  fekete szerkezeti</v>
      </c>
      <c r="H353" s="417">
        <v>1700</v>
      </c>
      <c r="I353" s="417" t="str">
        <f>CONCATENATE(H353,"-",J22)</f>
        <v>1700-fekete szerkezeti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2350-fekete szerkezeti</v>
      </c>
      <c r="D354" s="196">
        <v>526497</v>
      </c>
      <c r="E354" s="419" t="str">
        <f>+VLOOKUP(A354,cennik!A:G,2,FALSE)</f>
        <v>SEVROLL 06442 felső vezető profil 2,35m fekete szerkezeti</v>
      </c>
      <c r="F354" s="419" t="str">
        <f>+VLOOKUP(A354,cennik!A:B,2,FALSE)</f>
        <v>SEVROLL 06442 felső vezető profil 2,35m fekete szerkezeti</v>
      </c>
      <c r="H354" s="417">
        <v>2350</v>
      </c>
      <c r="I354" s="417" t="str">
        <f>CONCATENATE(H354,"-",J22)</f>
        <v>2350-fekete szerkezeti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3000-fekete szerkezeti</v>
      </c>
      <c r="D355" s="196">
        <v>526500</v>
      </c>
      <c r="E355" s="419" t="str">
        <f>+VLOOKUP(A355,cennik!A:G,2,FALSE)</f>
        <v>SEVROLL 06124  03605 felső vezető profil 3m fekete szerkezeti</v>
      </c>
      <c r="F355" s="419" t="str">
        <f>+VLOOKUP(A355,cennik!A:B,2,FALSE)</f>
        <v>SEVROLL 06124  03605 felső vezető profil 3m fekete szerkezeti</v>
      </c>
      <c r="H355" s="417">
        <v>3000</v>
      </c>
      <c r="I355" s="417" t="str">
        <f>CONCATENATE(H355,"-",J22)</f>
        <v>3000-fekete szerkezeti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1700-szálcsi.oliva sö.</v>
      </c>
      <c r="D356" s="421">
        <v>205103</v>
      </c>
      <c r="E356" s="419" t="str">
        <f>+VLOOKUP(A356,cennik!A:G,2,FALSE)</f>
        <v>SEVROLL felső vezető profil 1,7m oliva sötét szálcsiszolt</v>
      </c>
      <c r="F356" s="419" t="str">
        <f>+VLOOKUP(A356,cennik!A:B,2,FALSE)</f>
        <v>SEVROLL felső vezető profil 1,7m oliva sötét szálcsiszolt</v>
      </c>
      <c r="G356" s="417" t="e">
        <f>+VLOOKUP(A356,#REF!,4,FALSE)</f>
        <v>#REF!</v>
      </c>
      <c r="H356" s="417">
        <v>1700</v>
      </c>
      <c r="I356" s="417" t="str">
        <f>CONCATENATE(H356,"-",J8)</f>
        <v>1700-szálcsi.oliva sö.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2350-szálcsi.oliva sö.</v>
      </c>
      <c r="D357" s="421">
        <v>205156</v>
      </c>
      <c r="E357" s="419" t="str">
        <f>+VLOOKUP(A357,cennik!A:G,2,FALSE)</f>
        <v>SEVROLL felső vezető profil 2,35m oliva sötét szálcsiszolt</v>
      </c>
      <c r="F357" s="419" t="str">
        <f>+VLOOKUP(A357,cennik!A:B,2,FALSE)</f>
        <v>SEVROLL felső vezető profil 2,35m oliva sötét szálcsiszolt</v>
      </c>
      <c r="G357" s="417" t="e">
        <f>+VLOOKUP(A357,#REF!,4,FALSE)</f>
        <v>#REF!</v>
      </c>
      <c r="H357" s="417">
        <v>2350</v>
      </c>
      <c r="I357" s="417" t="str">
        <f>CONCATENATE(H357,"-",J8)</f>
        <v>2350-szálcsi.oliva sö.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3000-szálcsi.oliva sö.</v>
      </c>
      <c r="D358" s="421">
        <v>205158</v>
      </c>
      <c r="E358" s="419" t="str">
        <f>+VLOOKUP(A358,cennik!A:G,2,FALSE)</f>
        <v>SEVROLL felső vezető profil 3m oliva sötét szálcsiszolt</v>
      </c>
      <c r="F358" s="419" t="str">
        <f>+VLOOKUP(A358,cennik!A:B,2,FALSE)</f>
        <v>SEVROLL felső vezető profil 3m oliva sötét szálcsiszolt</v>
      </c>
      <c r="G358" s="417" t="e">
        <f>+VLOOKUP(A358,#REF!,4,FALSE)</f>
        <v>#REF!</v>
      </c>
      <c r="H358" s="417">
        <v>3000</v>
      </c>
      <c r="I358" s="417" t="str">
        <f>CONCATENATE(H358,"-",J8)</f>
        <v>3000-szálcsi.oliva sö.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1700-szálcsi.fekete</v>
      </c>
      <c r="D359" s="421">
        <v>205105</v>
      </c>
      <c r="E359" s="419" t="str">
        <f>+VLOOKUP(A359,cennik!A:G,2,FALSE)</f>
        <v>SEVROLL  03097 felső vezető profil 1,7m fekete szálcsiszolt</v>
      </c>
      <c r="F359" s="419" t="str">
        <f>+VLOOKUP(A359,cennik!A:B,2,FALSE)</f>
        <v>SEVROLL  03097 felső vezető profil 1,7m fekete szálcsiszolt</v>
      </c>
      <c r="H359" s="417">
        <v>1700</v>
      </c>
      <c r="I359" s="417" t="str">
        <f>CONCATENATE(H359,"-",J9)</f>
        <v>1700-szálcsi.fekete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2350-szálcsi.fekete</v>
      </c>
      <c r="D360" s="421">
        <v>205157</v>
      </c>
      <c r="E360" s="419" t="str">
        <f>+VLOOKUP(A360,cennik!A:G,2,FALSE)</f>
        <v>SEVROLL  03098 felső vezető profil 2,35m fekete szálcsiszolt</v>
      </c>
      <c r="F360" s="419" t="str">
        <f>+VLOOKUP(A360,cennik!A:B,2,FALSE)</f>
        <v>SEVROLL  03098 felső vezető profil 2,35m fekete szálcsiszolt</v>
      </c>
      <c r="H360" s="417">
        <v>2350</v>
      </c>
      <c r="I360" s="417" t="str">
        <f>CONCATENATE(H360,"-",J9)</f>
        <v>2350-szálcsi.fekete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3000-szálcsi.fekete</v>
      </c>
      <c r="D361" s="421">
        <v>205159</v>
      </c>
      <c r="E361" s="419" t="str">
        <f>+VLOOKUP(A361,cennik!A:G,2,FALSE)</f>
        <v>SEVROLL  03099 felső vezető profil 3m fekete szálcsiszolt</v>
      </c>
      <c r="F361" s="419" t="str">
        <f>+VLOOKUP(A361,cennik!A:B,2,FALSE)</f>
        <v>SEVROLL  03099 felső vezető profil 3m fekete szálcsiszolt</v>
      </c>
      <c r="H361" s="417">
        <v>3000</v>
      </c>
      <c r="I361" s="417" t="str">
        <f>CONCATENATE(H361,"-",J9)</f>
        <v>3000-szálcsi.fekete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1700-fehér fényes</v>
      </c>
      <c r="D362" s="421">
        <v>276737</v>
      </c>
      <c r="E362" s="419" t="str">
        <f>+VLOOKUP(A362,cennik!A:G,2,FALSE)</f>
        <v>SEVROLL 04064 felső vezető profil 1,7m fényes fehér</v>
      </c>
      <c r="F362" s="419" t="str">
        <f>+VLOOKUP(A362,cennik!A:B,2,FALSE)</f>
        <v>SEVROLL 04064 felső vezető profil 1,7m fényes fehér</v>
      </c>
      <c r="H362" s="417">
        <v>1700</v>
      </c>
      <c r="I362" s="417" t="str">
        <f>CONCATENATE(H362,"-",J15)</f>
        <v>1700-fehér fényes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2350-fehér fényes</v>
      </c>
      <c r="D363" s="421">
        <v>267944</v>
      </c>
      <c r="E363" s="419" t="str">
        <f>+VLOOKUP(A363,cennik!A:G,2,FALSE)</f>
        <v>SEVROLL 04065 felső vezető profil 2,35m fényes fehér</v>
      </c>
      <c r="F363" s="419" t="str">
        <f>+VLOOKUP(A363,cennik!A:B,2,FALSE)</f>
        <v>SEVROLL 04065 felső vezető profil 2,35m fényes fehér</v>
      </c>
      <c r="H363" s="417">
        <v>2350</v>
      </c>
      <c r="I363" s="417" t="str">
        <f>CONCATENATE(H363,"-",J15)</f>
        <v>2350-fehér fényes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3000-fehér fényes</v>
      </c>
      <c r="D364" s="421">
        <v>265066</v>
      </c>
      <c r="E364" s="419" t="str">
        <f>+VLOOKUP(A364,cennik!A:G,2,FALSE)</f>
        <v>SEVROLL 00169 felső vezető profil 3m fényes fehér</v>
      </c>
      <c r="F364" s="419" t="str">
        <f>+VLOOKUP(A364,cennik!A:B,2,FALSE)</f>
        <v>SEVROLL 00169 felső vezető profil 3m fényes fehér</v>
      </c>
      <c r="H364" s="417">
        <v>3000</v>
      </c>
      <c r="I364" s="417" t="str">
        <f>CONCATENATE(H364,"-",J15)</f>
        <v>3000-fehér fényes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3000-ezüst</v>
      </c>
      <c r="D365" s="421">
        <v>278058</v>
      </c>
      <c r="E365" s="419" t="str">
        <f>+VLOOKUP(A365,cennik!A:G,2,FALSE)</f>
        <v>SEVROLL 04096 Pax felső vezető profil 3m ezüst</v>
      </c>
      <c r="F365" s="419" t="str">
        <f>+VLOOKUP(A365,cennik!A:B,2,FALSE)</f>
        <v>SEVROLL 04096 Pax felső vezető profil 3m ezüst</v>
      </c>
      <c r="H365" s="417">
        <v>3000</v>
      </c>
      <c r="I365" s="417" t="str">
        <f>CONCATENATE(H365,"-",J4)</f>
        <v>3000-ezüst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3000-fehér fényes</v>
      </c>
      <c r="D366" s="421">
        <v>284525</v>
      </c>
      <c r="E366" s="419" t="str">
        <f>+VLOOKUP(A366,cennik!A:G,2,FALSE)</f>
        <v>SEVROLL Pax felső vezető profil 3m fényes fehér</v>
      </c>
      <c r="F366" s="419" t="str">
        <f>+VLOOKUP(A366,cennik!A:B,2,FALSE)</f>
        <v>SEVROLL Pax felső vezető profil 3m fényes fehér</v>
      </c>
      <c r="H366" s="417">
        <v>3000</v>
      </c>
      <c r="I366" s="417" t="str">
        <f>CONCATENATE(H366,"-",J15)</f>
        <v>3000-fehér fényes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1700-fényes fekete</v>
      </c>
      <c r="D367" s="418">
        <v>405377</v>
      </c>
      <c r="E367" s="419" t="str">
        <f>+VLOOKUP(A367,cennik!A:G,2,FALSE)</f>
        <v>SEVROLL 05149 felső vezető profil 1,7m fényes fekete</v>
      </c>
      <c r="F367" s="419" t="str">
        <f>+VLOOKUP(A367,cennik!A:B,2,FALSE)</f>
        <v>SEVROLL 05149 felső vezető profil 1,7m fényes fekete</v>
      </c>
      <c r="H367" s="417">
        <v>1700</v>
      </c>
      <c r="I367" s="417" t="str">
        <f>CONCATENATE(H367,"-",J16)</f>
        <v>1700-fényes fekete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2350-fényes fekete</v>
      </c>
      <c r="D368" s="418">
        <v>405379</v>
      </c>
      <c r="E368" s="419" t="str">
        <f>+VLOOKUP(A368,cennik!A:G,2,FALSE)</f>
        <v>SEVROLL 05150 felső vezető profil 2,35m fényes fekete</v>
      </c>
      <c r="F368" s="419" t="str">
        <f>+VLOOKUP(A368,cennik!A:B,2,FALSE)</f>
        <v>SEVROLL 05150 felső vezető profil 2,35m fényes fekete</v>
      </c>
      <c r="H368" s="417">
        <v>2350</v>
      </c>
      <c r="I368" s="417" t="str">
        <f>CONCATENATE(H368,"-",J16)</f>
        <v>2350-fényes fekete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3000-fényes fekete</v>
      </c>
      <c r="D369" s="418">
        <v>405382</v>
      </c>
      <c r="E369" s="419" t="str">
        <f>+VLOOKUP(A369,cennik!A:G,2,FALSE)</f>
        <v>SEVROLL 05184 felső vezető profil 3m fényes fekete</v>
      </c>
      <c r="F369" s="419" t="str">
        <f>+VLOOKUP(A369,cennik!A:B,2,FALSE)</f>
        <v>SEVROLL 05184 felső vezető profil 3m fényes fekete</v>
      </c>
      <c r="H369" s="417">
        <v>3000</v>
      </c>
      <c r="I369" s="417" t="str">
        <f>CONCATENATE(H369,"-",J16)</f>
        <v>3000-fényes fekete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felső vezető profil 1,7m grafit</v>
      </c>
      <c r="F370" s="419" t="str">
        <f>+VLOOKUP(A370,cennik!A:B,2,FALSE)</f>
        <v>SEVROLL 06039 felső vezető profil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felső vezető profil 2,35m grafit</v>
      </c>
      <c r="F371" s="419" t="str">
        <f>+VLOOKUP(A371,cennik!A:B,2,FALSE)</f>
        <v>SEVROLL 06040 felső vezető profil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felső vezető profil 3m grafit</v>
      </c>
      <c r="F372" s="419" t="str">
        <f>+VLOOKUP(A372,cennik!A:B,2,FALSE)</f>
        <v>SEVROLL 05966 felső vezető profil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1700-matt fehér</v>
      </c>
      <c r="D373" s="418">
        <v>497670</v>
      </c>
      <c r="E373" s="419" t="str">
        <f>+VLOOKUP(A373,cennik!A:G,2,FALSE)</f>
        <v>SEVROLL 05942 felső vezető profil 1,7m matt fehér</v>
      </c>
      <c r="F373" s="419" t="str">
        <f>+VLOOKUP(A373,cennik!A:B,2,FALSE)</f>
        <v>SEVROLL 05942 felső vezető profil 1,7m matt fehér</v>
      </c>
      <c r="H373" s="417">
        <v>1700</v>
      </c>
      <c r="I373" s="417" t="str">
        <f>CONCATENATE(H373,"-",J18)</f>
        <v>1700-matt fehér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2350-matt fehér</v>
      </c>
      <c r="D374" s="418">
        <v>497672</v>
      </c>
      <c r="E374" s="419" t="str">
        <f>+VLOOKUP(A374,cennik!A:G,2,FALSE)</f>
        <v>SEVROLL 05943 04065 felső vezető profil 2,35m matt fehér</v>
      </c>
      <c r="F374" s="419" t="str">
        <f>+VLOOKUP(A374,cennik!A:B,2,FALSE)</f>
        <v>SEVROLL 05943 04065 felső vezető profil 2,35m matt fehér</v>
      </c>
      <c r="H374" s="417">
        <v>2350</v>
      </c>
      <c r="I374" s="417" t="str">
        <f>CONCATENATE(H374,"-",J18)</f>
        <v>2350-matt fehér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3000-matt fehér</v>
      </c>
      <c r="D375" s="418">
        <v>497673</v>
      </c>
      <c r="E375" s="419" t="str">
        <f>+VLOOKUP(A375,cennik!A:G,2,FALSE)</f>
        <v>SEVROLL 00169 felső vezető profil 3m matt fehér</v>
      </c>
      <c r="F375" s="419" t="str">
        <f>+VLOOKUP(A375,cennik!A:B,2,FALSE)</f>
        <v>SEVROLL 00169 felső vezető profil 3m matt fehér</v>
      </c>
      <c r="H375" s="417">
        <v>3000</v>
      </c>
      <c r="I375" s="417" t="str">
        <f>CONCATENATE(H375,"-",J18)</f>
        <v>3000-matt fehér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1700-matt feket</v>
      </c>
      <c r="D376" s="417">
        <v>422043</v>
      </c>
      <c r="E376" s="419" t="str">
        <f>+VLOOKUP(A376,cennik!A:G,2,FALSE)</f>
        <v>SEVROLL felső vezető profil 1,7m matt fekete</v>
      </c>
      <c r="F376" s="419" t="str">
        <f>+VLOOKUP(A376,cennik!A:B,2,FALSE)</f>
        <v>SEVROLL felső vezető profil 1,7m matt fekete</v>
      </c>
      <c r="H376" s="417">
        <v>1700</v>
      </c>
      <c r="I376" s="417" t="str">
        <f>CONCATENATE(H376,"-",J17)</f>
        <v>1700-matt feket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2350-matt feket</v>
      </c>
      <c r="D377" s="417">
        <v>452608</v>
      </c>
      <c r="E377" s="419" t="str">
        <f>+VLOOKUP(A377,cennik!A:G,2,FALSE)</f>
        <v>SEVROLL felső vezető profil 2,35m matt fekete</v>
      </c>
      <c r="F377" s="419" t="str">
        <f>+VLOOKUP(A377,cennik!A:B,2,FALSE)</f>
        <v>SEVROLL felső vezető profil 2,35m matt fekete</v>
      </c>
      <c r="H377" s="417">
        <v>2350</v>
      </c>
      <c r="I377" s="417" t="str">
        <f>CONCATENATE(H377,"-",J17)</f>
        <v>2350-matt feket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3000-matt feket</v>
      </c>
      <c r="D378" s="418">
        <v>452734</v>
      </c>
      <c r="E378" s="419" t="str">
        <f>+VLOOKUP(A378,cennik!A:G,2,FALSE)</f>
        <v>SEVROLL felső vezető profil 3m matt fekete</v>
      </c>
      <c r="F378" s="419" t="str">
        <f>+VLOOKUP(A378,cennik!A:B,2,FALSE)</f>
        <v>SEVROLL felső vezető profil 3m matt fekete</v>
      </c>
      <c r="G378" s="417"/>
      <c r="H378" s="417">
        <v>3000</v>
      </c>
      <c r="I378" s="417" t="str">
        <f>CONCATENATE(H378,"-",J17)</f>
        <v>3000-matt feket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1700-fekete szerkezeti</v>
      </c>
      <c r="D379" s="196">
        <v>526496</v>
      </c>
      <c r="E379" s="419" t="str">
        <f>+VLOOKUP(A379,cennik!A:G,2,FALSE)</f>
        <v>SEVROLL 06441  felső vezető profil 1,7m  fekete szerkezeti</v>
      </c>
      <c r="F379" s="419" t="str">
        <f>+VLOOKUP(A379,cennik!A:B,2,FALSE)</f>
        <v>SEVROLL 06441  felső vezető profil 1,7m  fekete szerkezeti</v>
      </c>
      <c r="G379" s="417"/>
      <c r="H379" s="417">
        <v>1700</v>
      </c>
      <c r="I379" s="417" t="str">
        <f>CONCATENATE(H379,"-",J22)</f>
        <v>1700-fekete szerkezeti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2350-fekete szerkezeti</v>
      </c>
      <c r="D380" s="196">
        <v>526497</v>
      </c>
      <c r="E380" s="419" t="str">
        <f>+VLOOKUP(A380,cennik!A:G,2,FALSE)</f>
        <v>SEVROLL 06442 felső vezető profil 2,35m fekete szerkezeti</v>
      </c>
      <c r="F380" s="419" t="str">
        <f>+VLOOKUP(A380,cennik!A:B,2,FALSE)</f>
        <v>SEVROLL 06442 felső vezető profil 2,35m fekete szerkezeti</v>
      </c>
      <c r="G380" s="417"/>
      <c r="H380" s="417">
        <v>2350</v>
      </c>
      <c r="I380" s="417" t="str">
        <f>CONCATENATE(H380,"-",J22)</f>
        <v>2350-fekete szerkezeti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3000-fekete szerkezeti</v>
      </c>
      <c r="D381" s="196">
        <v>526500</v>
      </c>
      <c r="E381" s="419" t="str">
        <f>+VLOOKUP(A381,cennik!A:G,2,FALSE)</f>
        <v>SEVROLL 06124  03605 felső vezető profil 3m fekete szerkezeti</v>
      </c>
      <c r="F381" s="419" t="str">
        <f>+VLOOKUP(A381,cennik!A:B,2,FALSE)</f>
        <v>SEVROLL 06124  03605 felső vezető profil 3m fekete szerkezeti</v>
      </c>
      <c r="G381" s="417"/>
      <c r="H381" s="417">
        <v>3000</v>
      </c>
      <c r="I381" s="417" t="str">
        <f>CONCATENATE(H381,"-",J22)</f>
        <v>3000-fekete szerkezeti</v>
      </c>
    </row>
    <row r="382" spans="1:26" ht="15" customHeight="1" x14ac:dyDescent="0.3">
      <c r="A382" s="2">
        <v>452735</v>
      </c>
      <c r="C382" s="1" t="str">
        <f>CONCATENATE(H382,"-",J17)</f>
        <v>3000-matt feket</v>
      </c>
      <c r="D382" s="2">
        <v>452735</v>
      </c>
      <c r="E382" s="429" t="str">
        <f>+VLOOKUP(A382,cennik!A:G,2,FALSE)</f>
        <v>SEVROLL Pax felső vezető profil 3m matt fekete</v>
      </c>
      <c r="F382" s="48" t="str">
        <f>+VLOOKUP(A382,cennik!A:B,2,FALSE)</f>
        <v>SEVROLL Pax felső vezető profil 3m matt fekete</v>
      </c>
      <c r="H382" s="1">
        <v>3000</v>
      </c>
      <c r="I382" s="1" t="str">
        <f>CONCATENATE(H382,"-",J17)</f>
        <v>3000-matt feket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1500-ezüst</v>
      </c>
      <c r="D384" s="49">
        <v>224146</v>
      </c>
      <c r="E384" s="48" t="str">
        <f>+VLOOKUP(A384,cennik!A:G,2,FALSE)</f>
        <v>SEVROLL 03755 felső vezető profil Simple/Blue 1,5m (10 mm-es rétegeltlemez) ezüs</v>
      </c>
      <c r="F384" s="48" t="str">
        <f>+VLOOKUP(A384,cennik!A:B,2,FALSE)</f>
        <v>SEVROLL 03755 felső vezető profil Simple/Blue 1,5m (10 mm-es rétegeltlemez) ezüs</v>
      </c>
      <c r="H384" s="1">
        <v>1500</v>
      </c>
      <c r="I384" s="1" t="str">
        <f>CONCATENATE(H384,"-",J4)</f>
        <v>1500-ezüst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2000-ezüst</v>
      </c>
      <c r="D385" s="49">
        <v>224147</v>
      </c>
      <c r="E385" s="48" t="str">
        <f>+VLOOKUP(A385,cennik!A:G,2,FALSE)</f>
        <v>SEVROLL 03756 felső vezető profil Simple/Blue 2m (10 mm-es rétegeltlemez) ezüst</v>
      </c>
      <c r="F385" s="48" t="str">
        <f>+VLOOKUP(A385,cennik!A:B,2,FALSE)</f>
        <v>SEVROLL 03756 felső vezető profil Simple/Blue 2m (10 mm-es rétegeltlemez) ezüst</v>
      </c>
      <c r="H385" s="1">
        <v>2000</v>
      </c>
      <c r="I385" s="1" t="str">
        <f>CONCATENATE(H385,"-",J4)</f>
        <v>2000-ezüst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3000-ezüst</v>
      </c>
      <c r="D386" s="49">
        <v>222573</v>
      </c>
      <c r="E386" s="48" t="str">
        <f>+VLOOKUP(A386,cennik!A:G,2,FALSE)</f>
        <v>SEVROLL 03580 felső vezető profil Simple/Blue 3m (10 mm-es rétegeltlemez) ezüst</v>
      </c>
      <c r="F386" s="48" t="str">
        <f>+VLOOKUP(A386,cennik!A:B,2,FALSE)</f>
        <v>SEVROLL 03580 felső vezető profil Simple/Blue 3m (10 mm-es rétegeltlemez) ezüst</v>
      </c>
      <c r="H386" s="1">
        <v>3000</v>
      </c>
      <c r="I386" s="1" t="str">
        <f>CONCATENATE(H386,"-",J4)</f>
        <v>3000-ezüst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felső vezető profil Simple/Blue 1,5m (10 mm-es rétegeltlemez) oliva</v>
      </c>
      <c r="F387" s="48" t="str">
        <f>+VLOOKUP(A387,cennik!A:B,2,FALSE)</f>
        <v>SEVROLL felső vezető profil Simple/Blue 1,5m (10 mm-es rétegeltlemez)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felső vezető profil Simple/Blue 2m (10 mm-es rétegeltlemez) oliva</v>
      </c>
      <c r="F388" s="48" t="str">
        <f>+VLOOKUP(A388,cennik!A:B,2,FALSE)</f>
        <v>SEVROLL felső vezető profil Simple/Blue 2m (10 mm-es rétegeltlemez)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Felső vezetősín Simple/Blue 3m (10mm-es laminált anyaghoz) olíva</v>
      </c>
      <c r="F389" s="48" t="str">
        <f>+VLOOKUP(A389,cennik!A:B,2,FALSE)</f>
        <v>SEVROLL 03581 Felső vezetősín Simple/Blue 3m (10mm-es laminált anyaghoz) olíva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1500-ezüst</v>
      </c>
      <c r="D391" s="49">
        <v>224131</v>
      </c>
      <c r="E391" s="48" t="str">
        <f>+VLOOKUP(A391,cennik!A:G,2,FALSE)</f>
        <v>SEVROLL 04460 felső vezető profil Simple/Blue 1,5m (18 mm-es rétegeltlemez) ezüs</v>
      </c>
      <c r="F391" s="48" t="str">
        <f>+VLOOKUP(A391,cennik!A:B,2,FALSE)</f>
        <v>SEVROLL 04460 felső vezető profil Simple/Blue 1,5m (18 mm-es rétegeltlemez) ezüs</v>
      </c>
      <c r="H391" s="1">
        <v>1500</v>
      </c>
      <c r="I391" s="1" t="str">
        <f>CONCATENATE(H391,"-",J4)</f>
        <v>1500-ezüst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2000-ezüst</v>
      </c>
      <c r="D392" s="49">
        <v>224132</v>
      </c>
      <c r="E392" s="48" t="str">
        <f>+VLOOKUP(A392,cennik!A:G,2,FALSE)</f>
        <v>SEVROLL 04461 felső vezető profil Simple/Blue 2m (18 mm-es rétegeltlemez) ezüst</v>
      </c>
      <c r="F392" s="48" t="str">
        <f>+VLOOKUP(A392,cennik!A:B,2,FALSE)</f>
        <v>SEVROLL 04461 felső vezető profil Simple/Blue 2m (18 mm-es rétegeltlemez) ezüst</v>
      </c>
      <c r="H392" s="1">
        <v>2000</v>
      </c>
      <c r="I392" s="1" t="str">
        <f>CONCATENATE(H392,"-",J4)</f>
        <v>2000-ezüst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3000-ezüst</v>
      </c>
      <c r="D393" s="49">
        <v>222571</v>
      </c>
      <c r="E393" s="48" t="str">
        <f>+VLOOKUP(A393,cennik!A:G,2,FALSE)</f>
        <v>SEVROLL  04463  felső vezető profil Simple/Blue 3m (18 mm-es rétegeltlemez) ezüs</v>
      </c>
      <c r="F393" s="48" t="str">
        <f>+VLOOKUP(A393,cennik!A:B,2,FALSE)</f>
        <v>SEVROLL  04463  felső vezető profil Simple/Blue 3m (18 mm-es rétegeltlemez) ezüs</v>
      </c>
      <c r="H393" s="1">
        <v>3000</v>
      </c>
      <c r="I393" s="1" t="str">
        <f>CONCATENATE(H393,"-",J4)</f>
        <v>3000-ezüst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1500-matt feket</v>
      </c>
      <c r="D394" s="2">
        <v>488237</v>
      </c>
      <c r="E394" s="48" t="str">
        <f>+VLOOKUP(A394,cennik!A:G,2,FALSE)</f>
        <v>SEVROLL 05749 felső vezető profil Simple/Blue 2m (RL: 18mm) fekete matt</v>
      </c>
      <c r="F394" s="48" t="str">
        <f>+VLOOKUP(A394,cennik!A:B,2,FALSE)</f>
        <v>SEVROLL 05749 felső vezető profil Simple/Blue 2m (RL: 18mm) fekete matt</v>
      </c>
      <c r="H394" s="1">
        <v>1500</v>
      </c>
      <c r="I394" s="1" t="str">
        <f>CONCATENATE(H394,"-",J17)</f>
        <v>1500-matt feket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2000-matt feket</v>
      </c>
      <c r="D395" s="2">
        <v>488237</v>
      </c>
      <c r="E395" s="48" t="str">
        <f>+VLOOKUP(A395,cennik!A:G,2,FALSE)</f>
        <v>SEVROLL 05749 felső vezető profil Simple/Blue 2m (RL: 18mm) fekete matt</v>
      </c>
      <c r="F395" s="48" t="str">
        <f>+VLOOKUP(A395,cennik!A:B,2,FALSE)</f>
        <v>SEVROLL 05749 felső vezető profil Simple/Blue 2m (RL: 18mm) fekete matt</v>
      </c>
      <c r="H395" s="1">
        <v>2000</v>
      </c>
      <c r="I395" s="1" t="str">
        <f>CONCATENATE(H395,"-",J17)</f>
        <v>2000-matt feket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3000-matt feket</v>
      </c>
      <c r="D396" s="2">
        <v>488238</v>
      </c>
      <c r="E396" s="48" t="str">
        <f>+VLOOKUP(A396,cennik!A:G,2,FALSE)</f>
        <v>SEVROLL 05750  felső vezető profil Simple/Blue 3m (RL: 18mm) fekete matt</v>
      </c>
      <c r="F396" s="48" t="str">
        <f>+VLOOKUP(A396,cennik!A:B,2,FALSE)</f>
        <v>SEVROLL 05750  felső vezető profil Simple/Blue 3m (RL: 18mm) fekete matt</v>
      </c>
      <c r="H396" s="1">
        <v>3000</v>
      </c>
      <c r="I396" s="1" t="str">
        <f>CONCATENATE(H396,"-",J17)</f>
        <v>3000-matt feket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1500-fehér fényes</v>
      </c>
      <c r="D397" s="434">
        <v>394267</v>
      </c>
      <c r="E397" s="432" t="str">
        <f>+VLOOKUP(A397,cennik!A:G,2,FALSE)</f>
        <v>SEVROLL 04942 felső vezető profil Simple/Blue 2m (RL: 18mm) fehér fényes</v>
      </c>
      <c r="F397" s="432" t="str">
        <f>+VLOOKUP(A397,cennik!A:B,2,FALSE)</f>
        <v>SEVROLL 04942 felső vezető profil Simple/Blue 2m (RL: 18mm) fehér fényes</v>
      </c>
      <c r="G397" s="434"/>
      <c r="H397" s="434">
        <v>1500</v>
      </c>
      <c r="I397" s="434" t="str">
        <f>CONCATENATE(H397,"-",J15)</f>
        <v>1500-fehér fényes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2000-fehér fényes</v>
      </c>
      <c r="D398" s="434">
        <v>394267</v>
      </c>
      <c r="E398" s="432" t="str">
        <f>+VLOOKUP(A398,cennik!A:G,2,FALSE)</f>
        <v>SEVROLL 04942 felső vezető profil Simple/Blue 2m (RL: 18mm) fehér fényes</v>
      </c>
      <c r="F398" s="432" t="str">
        <f>+VLOOKUP(A398,cennik!A:B,2,FALSE)</f>
        <v>SEVROLL 04942 felső vezető profil Simple/Blue 2m (RL: 18mm) fehér fényes</v>
      </c>
      <c r="G398" s="434"/>
      <c r="H398" s="434">
        <v>2000</v>
      </c>
      <c r="I398" s="434" t="str">
        <f>CONCATENATE(H398,"-",J15)</f>
        <v>2000-fehér fényes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3000-fehér fényes</v>
      </c>
      <c r="D399" s="434">
        <v>394270</v>
      </c>
      <c r="E399" s="432" t="str">
        <f>+VLOOKUP(A399,cennik!A:G,2,FALSE)</f>
        <v>SEVROLL04943  felső vezető profil Simple/Blue 3m (RL: 18mm) fehér fényes</v>
      </c>
      <c r="F399" s="432" t="str">
        <f>+VLOOKUP(A399,cennik!A:B,2,FALSE)</f>
        <v>SEVROLL04943  felső vezető profil Simple/Blue 3m (RL: 18mm) fehér fényes</v>
      </c>
      <c r="G399" s="434"/>
      <c r="H399" s="434">
        <v>3000</v>
      </c>
      <c r="I399" s="434" t="str">
        <f>CONCATENATE(H399,"-",J15)</f>
        <v>3000-fehér fényes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 04457 felső vezető profil Simple/Blue 2m (18 mm-es rétegeltlemez) oliva</v>
      </c>
      <c r="F400" s="48" t="str">
        <f>+VLOOKUP(A400,cennik!A:B,2,FALSE)</f>
        <v>SEVROLL  04457 felső vezető profil Simple/Blue 2m (18 mm-es rétegeltlemez)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 04457 felső vezető profil Simple/Blue 2m (18 mm-es rétegeltlemez) oliva</v>
      </c>
      <c r="F401" s="48" t="str">
        <f>+VLOOKUP(A401,cennik!A:B,2,FALSE)</f>
        <v>SEVROLL  04457 felső vezető profil Simple/Blue 2m (18 mm-es rétegeltlemez)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 04459 felső vezető profil Simple/Blue 3m (18 mm-es rétegeltlemez) oliva</v>
      </c>
      <c r="F402" s="48" t="str">
        <f>+VLOOKUP(A402,cennik!A:B,2,FALSE)</f>
        <v>SEVROLL  04459 felső vezető profil Simple/Blue 3m (18 mm-es rétegeltlemez)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1700-ezüst</v>
      </c>
      <c r="D406" s="421">
        <v>89228</v>
      </c>
      <c r="E406" s="419" t="str">
        <f>+VLOOKUP(A406,cennik!A:G,2,FALSE)</f>
        <v>SEVROLL 00161 alsó takaró profil 1,7m 10mm ezüst</v>
      </c>
      <c r="F406" s="419" t="str">
        <f>+VLOOKUP(A406,cennik!A:B,2,FALSE)</f>
        <v>SEVROLL 00161 alsó takaró profil 1,7m 10mm ezüst</v>
      </c>
      <c r="G406" s="417" t="e">
        <f>+VLOOKUP(A406,#REF!,4,FALSE)</f>
        <v>#REF!</v>
      </c>
      <c r="H406" s="417" t="s">
        <v>464</v>
      </c>
      <c r="I406" s="417" t="str">
        <f>CONCATENATE(H406,"-",J4)</f>
        <v>1700-ezüst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00152  alsó takaró profil 1,7m 10mm oliva</v>
      </c>
      <c r="F407" s="419" t="str">
        <f>+VLOOKUP(A407,cennik!A:B,2,FALSE)</f>
        <v>SEVROLL 00152  alsó takaró profil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1700-arany/sárgaréz</v>
      </c>
      <c r="D408" s="421">
        <v>542867</v>
      </c>
      <c r="E408" s="419" t="str">
        <f>+VLOOKUP(A408,cennik!A:G,2,FALSE)</f>
        <v>SEVROLL 06810 alsó takaró profil 1,7m 10mm arany/sárgaréz</v>
      </c>
      <c r="F408" s="419" t="str">
        <f>+VLOOKUP(A408,cennik!A:B,2,FALSE)</f>
        <v>SEVROLL 06810 alsó takaró profil 1,7m 10mm arany/sárgaréz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1700-arany/sárgaréz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2350-ezüst</v>
      </c>
      <c r="D409" s="421">
        <v>89226</v>
      </c>
      <c r="E409" s="419" t="str">
        <f>+VLOOKUP(A409,cennik!A:G,2,FALSE)</f>
        <v>SEVROLL  00162 alsó takaró profil 2,35m 10mm ezüst</v>
      </c>
      <c r="F409" s="419" t="str">
        <f>+VLOOKUP(A409,cennik!A:B,2,FALSE)</f>
        <v>SEVROLL  00162 alsó takaró profil 2,35m 10mm ezüst</v>
      </c>
      <c r="G409" s="417" t="e">
        <f>+VLOOKUP(A409,#REF!,4,FALSE)</f>
        <v>#REF!</v>
      </c>
      <c r="H409" s="417" t="s">
        <v>465</v>
      </c>
      <c r="I409" s="417" t="str">
        <f>CONCATENATE(H409,"-",J4)</f>
        <v>2350-ezüst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00153 alsó takaró profil 2,35m 10mm oliva</v>
      </c>
      <c r="F410" s="419" t="str">
        <f>+VLOOKUP(A410,cennik!A:B,2,FALSE)</f>
        <v>SEVROLL 00153 alsó takaró profil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2350-arany/sárgaréz</v>
      </c>
      <c r="D411" s="421">
        <v>542868</v>
      </c>
      <c r="E411" s="419" t="str">
        <f>+VLOOKUP(A411,cennik!A:G,2,FALSE)</f>
        <v>SEVROLL 06811 alsó takaró profil 2,35m 10mm arany/sárgaréz</v>
      </c>
      <c r="F411" s="419" t="str">
        <f>+VLOOKUP(A411,cennik!A:B,2,FALSE)</f>
        <v>SEVROLL 06811 alsó takaró profil 2,35m 10mm arany/sárgaréz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2350-arany/sárgaréz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3000-ezüst</v>
      </c>
      <c r="D412" s="421">
        <v>89224</v>
      </c>
      <c r="E412" s="419" t="str">
        <f>+VLOOKUP(A412,cennik!A:G,2,FALSE)</f>
        <v>SEVROLL 00163 alsó takaró profil 3m 10mm ezüst</v>
      </c>
      <c r="F412" s="419" t="str">
        <f>+VLOOKUP(A412,cennik!A:B,2,FALSE)</f>
        <v>SEVROLL 00163 alsó takaró profil 3m 10mm ezüst</v>
      </c>
      <c r="G412" s="417" t="e">
        <f>+VLOOKUP(A412,#REF!,4,FALSE)</f>
        <v>#REF!</v>
      </c>
      <c r="H412" s="417" t="s">
        <v>466</v>
      </c>
      <c r="I412" s="417" t="str">
        <f>CONCATENATE(H412,"-",J4)</f>
        <v>3000-ezüst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00155 alsó takaró profil 3m 10mm oliva</v>
      </c>
      <c r="F413" s="419" t="str">
        <f>+VLOOKUP(A413,cennik!A:B,2,FALSE)</f>
        <v>SEVROLL 00155 alsó takaró profil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3000-arany/sárgaréz</v>
      </c>
      <c r="D414" s="421">
        <v>542869</v>
      </c>
      <c r="E414" s="419" t="str">
        <f>+VLOOKUP(A414,cennik!A:G,2,FALSE)</f>
        <v>SEVROLL 06812 alsó takaró profil 3m 10mm arany/sárgaréz</v>
      </c>
      <c r="F414" s="419" t="str">
        <f>+VLOOKUP(A414,cennik!A:B,2,FALSE)</f>
        <v>SEVROLL 06812 alsó takaró profil 3m 10mm arany/sárgaréz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3000-arany/sárgaréz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1700-matt feket</v>
      </c>
      <c r="D415" s="421">
        <v>422027</v>
      </c>
      <c r="E415" s="419" t="str">
        <f>+VLOOKUP(A415,cennik!A:G,2,FALSE)</f>
        <v>SEVROLL alsó takaró profil 1,7m 10mm matt fekete</v>
      </c>
      <c r="F415" s="419" t="str">
        <f>+VLOOKUP(A415,cennik!A:B,2,FALSE)</f>
        <v>SEVROLL alsó takaró profil 1,7m 10mm matt fekete</v>
      </c>
      <c r="H415" s="417">
        <v>1700</v>
      </c>
      <c r="I415" s="417" t="str">
        <f>CONCATENATE(H415,"-",J17)</f>
        <v>1700-matt feket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2350-matt feket</v>
      </c>
      <c r="D416" s="421">
        <v>422029</v>
      </c>
      <c r="E416" s="419" t="str">
        <f>+VLOOKUP(A416,cennik!A:G,2,FALSE)</f>
        <v>SEVROLL alsó takaró profil 2,35m 10mm matt fekete</v>
      </c>
      <c r="F416" s="419" t="str">
        <f>+VLOOKUP(A416,cennik!A:B,2,FALSE)</f>
        <v>SEVROLL alsó takaró profil 2,35m 10mm matt fekete</v>
      </c>
      <c r="H416" s="417">
        <v>2350</v>
      </c>
      <c r="I416" s="417" t="str">
        <f>CONCATENATE(H416,"-",J17)</f>
        <v>2350-matt feket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3000-matt feket</v>
      </c>
      <c r="D417" s="421">
        <v>422030</v>
      </c>
      <c r="E417" s="419" t="str">
        <f>+VLOOKUP(A417,cennik!A:G,2,FALSE)</f>
        <v>SEVROLL alsó takaró profil 3m 10mm matt fekete</v>
      </c>
      <c r="F417" s="419" t="str">
        <f>+VLOOKUP(A417,cennik!A:B,2,FALSE)</f>
        <v>SEVROLL alsó takaró profil 3m 10mm matt fekete</v>
      </c>
      <c r="H417" s="417">
        <v>3000</v>
      </c>
      <c r="I417" s="417" t="str">
        <f>CONCATENATE(H417,"-",J17)</f>
        <v>3000-matt feket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1700-kefélt oliva</v>
      </c>
      <c r="D418" s="421">
        <v>119417</v>
      </c>
      <c r="E418" s="419" t="str">
        <f>+VLOOKUP(A418,cennik!A:G,2,FALSE)</f>
        <v>SEVROLL 02490-Y alsó takaró profil 1,7m 10mm oliva szálcsiszolt</v>
      </c>
      <c r="F418" s="419" t="str">
        <f>+VLOOKUP(A418,cennik!A:B,2,FALSE)</f>
        <v>SEVROLL 02490-Y alsó takaró profil 1,7m 10mm oliva szálcsiszolt</v>
      </c>
      <c r="G418" s="417" t="e">
        <f>+VLOOKUP(A418,#REF!,4,FALSE)</f>
        <v>#REF!</v>
      </c>
      <c r="H418" s="417" t="s">
        <v>464</v>
      </c>
      <c r="I418" s="417" t="str">
        <f>CONCATENATE(H418,"-",J7)</f>
        <v>1700-kefélt oliva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2350-kefélt oliva</v>
      </c>
      <c r="D419" s="421">
        <v>119421</v>
      </c>
      <c r="E419" s="419" t="str">
        <f>+VLOOKUP(A419,cennik!A:G,2,FALSE)</f>
        <v>SEVROLL 02491-Y  alsó takaró profil 2,35m 10mm oliva szálcsiszolt</v>
      </c>
      <c r="F419" s="419" t="str">
        <f>+VLOOKUP(A419,cennik!A:B,2,FALSE)</f>
        <v>SEVROLL 02491-Y  alsó takaró profil 2,35m 10mm oliva szálcsiszolt</v>
      </c>
      <c r="G419" s="417" t="e">
        <f>+VLOOKUP(A419,#REF!,4,FALSE)</f>
        <v>#REF!</v>
      </c>
      <c r="H419" s="417" t="s">
        <v>465</v>
      </c>
      <c r="I419" s="417" t="str">
        <f>CONCATENATE(H419,"-",J7)</f>
        <v>2350-kefélt oliva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3000-kefélt oliva</v>
      </c>
      <c r="D420" s="421">
        <v>119422</v>
      </c>
      <c r="E420" s="419" t="str">
        <f>+VLOOKUP(A420,cennik!A:G,2,FALSE)</f>
        <v>SEVROLL 02492-Y alsó takaró profil 3m 10mm oliva szálcsiszolt</v>
      </c>
      <c r="F420" s="419" t="str">
        <f>+VLOOKUP(A420,cennik!A:B,2,FALSE)</f>
        <v>SEVROLL 02492-Y alsó takaró profil 3m 10mm oliva szálcsiszolt</v>
      </c>
      <c r="G420" s="417" t="e">
        <f>+VLOOKUP(A420,#REF!,4,FALSE)</f>
        <v>#REF!</v>
      </c>
      <c r="H420" s="417" t="s">
        <v>466</v>
      </c>
      <c r="I420" s="417" t="str">
        <f>CONCATENATE(H420,"-",J7)</f>
        <v>3000-kefélt oliva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1700-fekete szerkezeti</v>
      </c>
      <c r="D421" s="196">
        <v>526476</v>
      </c>
      <c r="E421" s="419" t="str">
        <f>+VLOOKUP(A421,cennik!A:G,2,FALSE)</f>
        <v>SEVROLL 06439 Gemini 10 alsó takaró profil 1,7m 10mm  fekete szerkezeti</v>
      </c>
      <c r="F421" s="419" t="str">
        <f>+VLOOKUP(A421,cennik!A:B,2,FALSE)</f>
        <v>SEVROLL 06439 Gemini 10 alsó takaró profil 1,7m 10mm  fekete szerkezeti</v>
      </c>
      <c r="H421" s="417" t="s">
        <v>464</v>
      </c>
      <c r="I421" s="417" t="str">
        <f>CONCATENATE(H421,"-",J22)</f>
        <v>1700-fekete szerkezeti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2350-fekete szerkezeti</v>
      </c>
      <c r="D422" s="196">
        <v>526477</v>
      </c>
      <c r="E422" s="419" t="str">
        <f>+VLOOKUP(A422,cennik!A:G,2,FALSE)</f>
        <v>SEVROLL 06440 Gemini 10alsó takaró profil 2,35m 10mm  fekete szerkezeti</v>
      </c>
      <c r="F422" s="419" t="str">
        <f>+VLOOKUP(A422,cennik!A:B,2,FALSE)</f>
        <v>SEVROLL 06440 Gemini 10alsó takaró profil 2,35m 10mm  fekete szerkezeti</v>
      </c>
      <c r="H422" s="417" t="s">
        <v>465</v>
      </c>
      <c r="I422" s="417" t="str">
        <f>CONCATENATE(H422,"-",J22)</f>
        <v>2350-fekete szerkezeti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3000-fekete szerkezeti</v>
      </c>
      <c r="D423" s="196">
        <v>526478</v>
      </c>
      <c r="E423" s="419" t="str">
        <f>+VLOOKUP(A423,cennik!A:G,2,FALSE)</f>
        <v>SEVROLL 06123 alsó takaró profil 3m 10mm fekete szerkezeti</v>
      </c>
      <c r="F423" s="419" t="str">
        <f>+VLOOKUP(A423,cennik!A:B,2,FALSE)</f>
        <v>SEVROLL 06123 alsó takaró profil 3m 10mm fekete szerkezeti</v>
      </c>
      <c r="H423" s="417" t="s">
        <v>466</v>
      </c>
      <c r="I423" s="417" t="str">
        <f>CONCATENATE(H423,"-",J22)</f>
        <v>3000-fekete szerkezeti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1700-szálcsi.oliva sö.</v>
      </c>
      <c r="D424" s="421">
        <v>205170</v>
      </c>
      <c r="E424" s="419" t="str">
        <f>+VLOOKUP(A424,cennik!A:G,2,FALSE)</f>
        <v>SEVROLL alsó takaró profil 1,7m 10mm oliva sötét szálcsiszolt</v>
      </c>
      <c r="F424" s="419" t="str">
        <f>+VLOOKUP(A424,cennik!A:B,2,FALSE)</f>
        <v>SEVROLL alsó takaró profil 1,7m 10mm oliva sötét szálcsiszolt</v>
      </c>
      <c r="G424" s="417" t="e">
        <f>+VLOOKUP(A424,#REF!,4,FALSE)</f>
        <v>#REF!</v>
      </c>
      <c r="H424" s="417" t="s">
        <v>464</v>
      </c>
      <c r="I424" s="417" t="str">
        <f>CONCATENATE(H424,"-",J8)</f>
        <v>1700-szálcsi.oliva sö.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2350-szálcsi.oliva sö.</v>
      </c>
      <c r="D425" s="421">
        <v>205172</v>
      </c>
      <c r="E425" s="419" t="str">
        <f>+VLOOKUP(A425,cennik!A:G,2,FALSE)</f>
        <v>SEVROLL összekötő takaró profil 2,35m oliva sötét szálcsiszolt</v>
      </c>
      <c r="F425" s="419" t="str">
        <f>+VLOOKUP(A425,cennik!A:B,2,FALSE)</f>
        <v>SEVROLL összekötő takaró profil 2,35m oliva sötét szálcsiszolt</v>
      </c>
      <c r="G425" s="417" t="e">
        <f>+VLOOKUP(A425,#REF!,4,FALSE)</f>
        <v>#REF!</v>
      </c>
      <c r="H425" s="417" t="s">
        <v>465</v>
      </c>
      <c r="I425" s="417" t="str">
        <f>CONCATENATE(H425,"-",J8)</f>
        <v>2350-szálcsi.oliva sö.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3000-szálcsi.oliva sö.</v>
      </c>
      <c r="D426" s="421">
        <v>205174</v>
      </c>
      <c r="E426" s="419" t="str">
        <f>+VLOOKUP(A426,cennik!A:G,2,FALSE)</f>
        <v>SEVROLL alsó takaró profil 3m 10mm oliva sötét szálcsiszolt</v>
      </c>
      <c r="F426" s="419" t="str">
        <f>+VLOOKUP(A426,cennik!A:B,2,FALSE)</f>
        <v>SEVROLL alsó takaró profil 3m 10mm oliva sötét szálcsiszolt</v>
      </c>
      <c r="G426" s="417" t="e">
        <f>+VLOOKUP(A426,#REF!,4,FALSE)</f>
        <v>#REF!</v>
      </c>
      <c r="H426" s="417" t="s">
        <v>466</v>
      </c>
      <c r="I426" s="417" t="str">
        <f>CONCATENATE(H426,"-",J8)</f>
        <v>3000-szálcsi.oliva sö.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1700-szálcsi.fekete</v>
      </c>
      <c r="D427" s="421">
        <v>205171</v>
      </c>
      <c r="E427" s="419" t="str">
        <f>+VLOOKUP(A427,cennik!A:G,2,FALSE)</f>
        <v>SEVROLL  03091 alsó takaró profil 1,7m 10mm fekete szálcsiszolt</v>
      </c>
      <c r="F427" s="419" t="str">
        <f>+VLOOKUP(A427,cennik!A:B,2,FALSE)</f>
        <v>SEVROLL  03091 alsó takaró profil 1,7m 10mm fekete szálcsiszolt</v>
      </c>
      <c r="H427" s="417" t="s">
        <v>464</v>
      </c>
      <c r="I427" s="417" t="str">
        <f>CONCATENATE(H427,"-",J9)</f>
        <v>1700-szálcsi.fekete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2350-szálcsi.fekete</v>
      </c>
      <c r="D428" s="421">
        <v>205173</v>
      </c>
      <c r="E428" s="419" t="str">
        <f>+VLOOKUP(A428,cennik!A:G,2,FALSE)</f>
        <v>SEVROLL  03092 alsó takaró profil 2,35m 10mm fekete szálcsiszolt</v>
      </c>
      <c r="F428" s="419" t="str">
        <f>+VLOOKUP(A428,cennik!A:B,2,FALSE)</f>
        <v>SEVROLL  03092 alsó takaró profil 2,35m 10mm fekete szálcsiszolt</v>
      </c>
      <c r="H428" s="417" t="s">
        <v>465</v>
      </c>
      <c r="I428" s="417" t="str">
        <f>CONCATENATE(H428,"-",J9)</f>
        <v>2350-szálcsi.fekete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3000-szálcsi.fekete</v>
      </c>
      <c r="D429" s="421">
        <v>205175</v>
      </c>
      <c r="E429" s="419" t="str">
        <f>+VLOOKUP(A429,cennik!A:G,2,FALSE)</f>
        <v>SEVROLL  03093 alsó takaró profil 3m 10mm fekete szálcsiszolt</v>
      </c>
      <c r="F429" s="419" t="str">
        <f>+VLOOKUP(A429,cennik!A:B,2,FALSE)</f>
        <v>SEVROLL  03093 alsó takaró profil 3m 10mm fekete szálcsiszolt</v>
      </c>
      <c r="H429" s="417" t="s">
        <v>466</v>
      </c>
      <c r="I429" s="417" t="str">
        <f>CONCATENATE(H429,"-",J9)</f>
        <v>3000-szálcsi.fekete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alsó takaró profil 1,7m 10mm grafit</v>
      </c>
      <c r="F430" s="419" t="str">
        <f>+VLOOKUP(A430,cennik!A:B,2,FALSE)</f>
        <v>SEVROLL 06037 alsó takaró profil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alsó takaró profil 2,35m 10mm grafit</v>
      </c>
      <c r="F431" s="419" t="str">
        <f>+VLOOKUP(A431,cennik!A:B,2,FALSE)</f>
        <v>SEVROLL 06038 alsó takaró profil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alsó takaró profil 3m 10mm grafit</v>
      </c>
      <c r="F432" s="419" t="str">
        <f>+VLOOKUP(A432,cennik!A:B,2,FALSE)</f>
        <v>SEVROLL 05967 alsó takaró profil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1700-fehér fényes</v>
      </c>
      <c r="D433" s="421">
        <v>276736</v>
      </c>
      <c r="E433" s="419" t="str">
        <f>+VLOOKUP(A433,cennik!A:G,2,FALSE)</f>
        <v>SEVROLL 04062 alsó takaró profil 1,7m 10mm fényes fehér</v>
      </c>
      <c r="F433" s="419" t="str">
        <f>+VLOOKUP(A433,cennik!A:B,2,FALSE)</f>
        <v>SEVROLL 04062 alsó takaró profil 1,7m 10mm fényes fehér</v>
      </c>
      <c r="H433" s="417" t="s">
        <v>464</v>
      </c>
      <c r="I433" s="417" t="str">
        <f>CONCATENATE(H433,"-",J15)</f>
        <v>1700-fehér fényes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2350-fehér fényes</v>
      </c>
      <c r="D434" s="421">
        <v>267954</v>
      </c>
      <c r="E434" s="419" t="str">
        <f>+VLOOKUP(A434,cennik!A:G,2,FALSE)</f>
        <v>SEVROLL04063 alsó takaró profil 2,35m 10mm fényes fehér</v>
      </c>
      <c r="F434" s="419" t="str">
        <f>+VLOOKUP(A434,cennik!A:B,2,FALSE)</f>
        <v>SEVROLL04063 alsó takaró profil 2,35m 10mm fényes fehér</v>
      </c>
      <c r="H434" s="417" t="s">
        <v>465</v>
      </c>
      <c r="I434" s="417" t="str">
        <f>CONCATENATE(H434,"-",J15)</f>
        <v>2350-fehér fényes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3000-fehér fényes</v>
      </c>
      <c r="D435" s="421">
        <v>265067</v>
      </c>
      <c r="E435" s="419" t="str">
        <f>+VLOOKUP(A435,cennik!A:G,2,FALSE)</f>
        <v>SEVROLL 00145  alsó takaró profil 3m 10mm fényes fehér</v>
      </c>
      <c r="F435" s="419" t="str">
        <f>+VLOOKUP(A435,cennik!A:B,2,FALSE)</f>
        <v>SEVROLL 00145  alsó takaró profil 3m 10mm fényes fehér</v>
      </c>
      <c r="G435" s="417"/>
      <c r="H435" s="417" t="s">
        <v>466</v>
      </c>
      <c r="I435" s="417" t="str">
        <f>CONCATENATE(H435,"-",J15)</f>
        <v>3000-fehér fényes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3000-ezüst</v>
      </c>
      <c r="D436" s="421">
        <v>278059</v>
      </c>
      <c r="E436" s="419" t="str">
        <f>+VLOOKUP(A436,cennik!A:G,2,FALSE)</f>
        <v>SEVROLL 04095 Pax alsó takaró profil 3m 4mm ezüst</v>
      </c>
      <c r="F436" s="419" t="str">
        <f>+VLOOKUP(A436,cennik!A:B,2,FALSE)</f>
        <v>SEVROLL 04095 Pax alsó takaró profil 3m 4mm ezüst</v>
      </c>
      <c r="G436" s="417"/>
      <c r="H436" s="417" t="s">
        <v>466</v>
      </c>
      <c r="I436" s="417" t="str">
        <f>CONCATENATE(H436,"-",J4)</f>
        <v>3000-ezüst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3000-fehér fényes</v>
      </c>
      <c r="D437" s="421">
        <v>284526</v>
      </c>
      <c r="E437" s="419" t="str">
        <f>+VLOOKUP(A437,cennik!A:G,2,FALSE)</f>
        <v>SEVROLL Pax alsó takaró profil 3m 4mm fényes fehér</v>
      </c>
      <c r="F437" s="419" t="str">
        <f>+VLOOKUP(A437,cennik!A:B,2,FALSE)</f>
        <v>SEVROLL Pax alsó takaró profil 3m 4mm fényes fehér</v>
      </c>
      <c r="G437" s="417"/>
      <c r="H437" s="417" t="s">
        <v>466</v>
      </c>
      <c r="I437" s="417" t="str">
        <f>CONCATENATE(H437,"-",J15)</f>
        <v>3000-fehér fényes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3000-matt feket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3000-matt feket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3000-matt feket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3000-matt feket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1700-fényes fekete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1700-matt feket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1350-fényes fekete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1350-matt feket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3000-fényes fekete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3000-matt feket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1700-matt fehér</v>
      </c>
      <c r="D443" s="427">
        <v>497666</v>
      </c>
      <c r="E443" s="419" t="str">
        <f>+VLOOKUP(A443,cennik!A:G,2,FALSE)</f>
        <v>SEVROLL 05939 alsó takaró profil 1,7m 10mm matt fehér</v>
      </c>
      <c r="F443" s="419" t="str">
        <f>+VLOOKUP(A443,cennik!A:B,2,FALSE)</f>
        <v>SEVROLL 05939 alsó takaró profil 1,7m 10mm matt fehér</v>
      </c>
      <c r="H443" s="425">
        <v>1700</v>
      </c>
      <c r="I443" s="417" t="str">
        <f>CONCATENATE(H443,"-",J18)</f>
        <v>1700-matt fehér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2350-matt fehér</v>
      </c>
      <c r="D444" s="427">
        <v>497668</v>
      </c>
      <c r="E444" s="419" t="str">
        <f>+VLOOKUP(A444,cennik!A:G,2,FALSE)</f>
        <v>SEVROLL 05940 alsó takaró profil 2,35m 10mm matt fehér</v>
      </c>
      <c r="F444" s="419" t="str">
        <f>+VLOOKUP(A444,cennik!A:B,2,FALSE)</f>
        <v>SEVROLL 05940 alsó takaró profil 2,35m 10mm matt fehér</v>
      </c>
      <c r="H444" s="425">
        <v>2350</v>
      </c>
      <c r="I444" s="417" t="str">
        <f>CONCATENATE(H444,"-",J18)</f>
        <v>2350-matt fehér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3000-matt fehér</v>
      </c>
      <c r="D445" s="427">
        <v>497669</v>
      </c>
      <c r="E445" s="419" t="str">
        <f>+VLOOKUP(A445,cennik!A:G,2,FALSE)</f>
        <v>SEVROLL 05941 alsó takaró profil 3m 10mm matt fehér</v>
      </c>
      <c r="F445" s="419" t="str">
        <f>+VLOOKUP(A445,cennik!A:B,2,FALSE)</f>
        <v>SEVROLL 05941 alsó takaró profil 3m 10mm matt fehér</v>
      </c>
      <c r="H445" s="425">
        <v>3000</v>
      </c>
      <c r="I445" s="417" t="str">
        <f>CONCATENATE(H445,"-",J18)</f>
        <v>3000-matt fehér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1700-matt feket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1700-matt feket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2350-matt feket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2350-matt feket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3000-matt feket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3000-matt feket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3000-matt feket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3000-fényes fekete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1700-fekete szerkezeti</v>
      </c>
      <c r="D450" s="196">
        <v>526476</v>
      </c>
      <c r="E450" s="419" t="str">
        <f>+VLOOKUP(A450,cennik!A:G,2,FALSE)</f>
        <v>SEVROLL 06439 Gemini 10 alsó takaró profil 1,7m 10mm  fekete szerkezeti</v>
      </c>
      <c r="F450" s="419" t="str">
        <f>+VLOOKUP(A450,cennik!A:B,2,FALSE)</f>
        <v>SEVROLL 06439 Gemini 10 alsó takaró profil 1,7m 10mm  fekete szerkezeti</v>
      </c>
      <c r="G450" s="417"/>
      <c r="H450" s="417">
        <v>1700</v>
      </c>
      <c r="I450" s="417" t="str">
        <f>CONCATENATE(H450,"-",J22)</f>
        <v>1700-fekete szerkezeti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2350-fekete szerkezeti</v>
      </c>
      <c r="D451" s="196">
        <v>526477</v>
      </c>
      <c r="E451" s="419" t="str">
        <f>+VLOOKUP(A451,cennik!A:G,2,FALSE)</f>
        <v>SEVROLL 06440 Gemini 10alsó takaró profil 2,35m 10mm  fekete szerkezeti</v>
      </c>
      <c r="F451" s="419" t="str">
        <f>+VLOOKUP(A451,cennik!A:B,2,FALSE)</f>
        <v>SEVROLL 06440 Gemini 10alsó takaró profil 2,35m 10mm  fekete szerkezeti</v>
      </c>
      <c r="G451" s="417"/>
      <c r="H451" s="417">
        <v>2350</v>
      </c>
      <c r="I451" s="417" t="str">
        <f>CONCATENATE(H451,"-",J22)</f>
        <v>2350-fekete szerkezeti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3000-fekete szerkezeti</v>
      </c>
      <c r="D452" s="196">
        <v>526478</v>
      </c>
      <c r="E452" s="419" t="str">
        <f>+VLOOKUP(A452,cennik!A:G,2,FALSE)</f>
        <v>SEVROLL 06123 alsó takaró profil 3m 10mm fekete szerkezeti</v>
      </c>
      <c r="F452" s="419" t="str">
        <f>+VLOOKUP(A452,cennik!A:B,2,FALSE)</f>
        <v>SEVROLL 06123 alsó takaró profil 3m 10mm fekete szerkezeti</v>
      </c>
      <c r="G452" s="417"/>
      <c r="H452" s="417">
        <v>3000</v>
      </c>
      <c r="I452" s="417" t="str">
        <f>CONCATENATE(H452,"-",J22)</f>
        <v>3000-fekete szerkezeti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ezüst</v>
      </c>
      <c r="D454" s="49">
        <v>278056</v>
      </c>
      <c r="E454" s="48" t="str">
        <f>+VLOOKUP(A454,cennik!A:G,2,FALSE)</f>
        <v>SEVROLL 04094 Pax fogantyú profil 2,7m ezüst</v>
      </c>
      <c r="F454" s="48" t="str">
        <f>+VLOOKUP(A454,cennik!A:B,2,FALSE)</f>
        <v>SEVROLL 04094 Pax fogantyú profil 2,7m ezüst</v>
      </c>
      <c r="G454" s="1"/>
      <c r="H454" s="1">
        <v>2700</v>
      </c>
      <c r="I454" s="1" t="str">
        <f>J4</f>
        <v>ezüst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fehér fényes</v>
      </c>
      <c r="D455" s="49">
        <v>284521</v>
      </c>
      <c r="E455" s="48" t="str">
        <f>+VLOOKUP(A455,cennik!A:G,2,FALSE)</f>
        <v>SEVROLL Pax fogantyú profil 2,7m fényes fehér</v>
      </c>
      <c r="F455" s="48" t="str">
        <f>+VLOOKUP(A455,cennik!A:B,2,FALSE)</f>
        <v>SEVROLL Pax fogantyú profil 2,7m fényes fehér</v>
      </c>
      <c r="H455" s="1">
        <v>2700</v>
      </c>
      <c r="I455" s="1" t="str">
        <f>J15</f>
        <v>fehér fényes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matt feket</v>
      </c>
      <c r="D456" s="431">
        <v>456332</v>
      </c>
      <c r="E456" s="48" t="str">
        <f>+VLOOKUP(A456,cennik!A:G,2,FALSE)</f>
        <v>SEVROLL Pax fogantyú profil 2,7m mat fekete</v>
      </c>
      <c r="F456" s="48" t="str">
        <f>+VLOOKUP(A456,cennik!A:B,2,FALSE)</f>
        <v>SEVROLL Pax fogantyú profil 2,7m mat fekete</v>
      </c>
      <c r="G456" s="430"/>
      <c r="H456" s="430">
        <v>2700</v>
      </c>
      <c r="I456" s="430" t="str">
        <f>J17</f>
        <v>matt feket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ezüst</v>
      </c>
      <c r="D458" s="49">
        <v>278057</v>
      </c>
      <c r="E458" s="48" t="str">
        <f>+VLOOKUP(A458,cennik!A:G,2,FALSE)</f>
        <v>SEVROLL Pax fogantyú profil 3m ezüst</v>
      </c>
      <c r="F458" s="48" t="str">
        <f>+VLOOKUP(A458,cennik!A:B,2,FALSE)</f>
        <v>SEVROLL Pax fogantyú profil 3m ezüst</v>
      </c>
      <c r="G458" s="1"/>
      <c r="H458" s="1">
        <v>3000</v>
      </c>
      <c r="I458" s="1" t="str">
        <f>J4</f>
        <v>ezüst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fehér fényes</v>
      </c>
      <c r="D459" s="49">
        <v>284523</v>
      </c>
      <c r="E459" s="48" t="str">
        <f>+VLOOKUP(A459,cennik!A:G,2,FALSE)</f>
        <v>SEVROLL Pax fogantyú profil 3m fényes fehér</v>
      </c>
      <c r="F459" s="48" t="str">
        <f>+VLOOKUP(A459,cennik!A:B,2,FALSE)</f>
        <v>SEVROLL Pax fogantyú profil 3m fényes fehér</v>
      </c>
      <c r="H459" s="1">
        <v>3000</v>
      </c>
      <c r="I459" s="1" t="str">
        <f>J15</f>
        <v>fehér fényes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matt feket</v>
      </c>
      <c r="D460" s="431">
        <v>456333</v>
      </c>
      <c r="E460" s="48" t="str">
        <f>+VLOOKUP(A460,cennik!A:G,2,FALSE)</f>
        <v>SEVROLL Pax fogantyú profil 3m mat fekete</v>
      </c>
      <c r="F460" s="48" t="str">
        <f>+VLOOKUP(A460,cennik!A:B,2,FALSE)</f>
        <v>SEVROLL Pax fogantyú profil 3m mat fekete</v>
      </c>
      <c r="G460" s="430"/>
      <c r="H460" s="430">
        <v>3000</v>
      </c>
      <c r="I460" s="430" t="str">
        <f>J17</f>
        <v>matt feket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felső vezető profil 3m ezüst</v>
      </c>
      <c r="F462" s="48" t="str">
        <f>+VLOOKUP(A462,cennik!A:B,2,FALSE)</f>
        <v>SEVROLL 04096 Pax felső vezető profil 3m ezüst</v>
      </c>
      <c r="H462" s="1">
        <v>3000</v>
      </c>
      <c r="I462" s="1" t="str">
        <f>J4</f>
        <v>ezüst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Pax felső vezető profil 3m fényes fehér</v>
      </c>
      <c r="F463" s="48" t="str">
        <f>+VLOOKUP(A463,cennik!A:B,2,FALSE)</f>
        <v>SEVROLL Pax felső vezető profil 3m fényes fehér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alsó takaró profil 3m 4mm ezüst</v>
      </c>
      <c r="F464" s="48" t="str">
        <f>+VLOOKUP(A464,cennik!A:B,2,FALSE)</f>
        <v>SEVROLL 04095 Pax alsó takaró profil 3m 4mm ezüst</v>
      </c>
      <c r="H464" s="1">
        <v>3000</v>
      </c>
      <c r="I464" s="1" t="str">
        <f>J4</f>
        <v>ezüst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Pax alsó takaró profil 3m 4mm fényes fehér</v>
      </c>
      <c r="F465" s="48" t="str">
        <f>+VLOOKUP(A465,cennik!A:B,2,FALSE)</f>
        <v>SEVROLL Pax alsó takaró profil 3m 4mm fényes fehér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ezüst</v>
      </c>
      <c r="D466" s="49">
        <v>288126</v>
      </c>
      <c r="E466" s="48" t="str">
        <f>+VLOOKUP(A466,cennik!A:G,2,FALSE)</f>
        <v>SEVROLL 20328  Pax fogantyú ragasztható ezüst</v>
      </c>
      <c r="F466" s="48" t="str">
        <f>+VLOOKUP(A466,cennik!A:B,2,FALSE)</f>
        <v>SEVROLL 20328  Pax fogantyú ragasztható ezüst</v>
      </c>
      <c r="G466" s="1"/>
      <c r="H466" s="1"/>
      <c r="I466" s="1" t="str">
        <f>J4</f>
        <v>ezüst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fehér fényes</v>
      </c>
      <c r="D467" s="49">
        <v>288125</v>
      </c>
      <c r="E467" s="48" t="str">
        <f>+VLOOKUP(A467,cennik!A:G,2,FALSE)</f>
        <v>SEVROLL 20329 Pax fogantyú ragasztható fehér</v>
      </c>
      <c r="F467" s="48" t="str">
        <f>+VLOOKUP(A467,cennik!A:B,2,FALSE)</f>
        <v>SEVROLL 20329 Pax fogantyú ragasztható fehér</v>
      </c>
      <c r="I467" s="1" t="str">
        <f>J15</f>
        <v>fehér fényes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ezüst</v>
      </c>
      <c r="D468" s="435">
        <v>278060</v>
      </c>
      <c r="E468" s="432" t="str">
        <f>+VLOOKUP(A468,cennik!A:G,2,FALSE)</f>
        <v>SEVROLL 20298  Pax végzáró profilhoz (4 db) ezüst</v>
      </c>
      <c r="F468" s="432" t="str">
        <f>+VLOOKUP(A468,cennik!A:B,2,FALSE)</f>
        <v>SEVROLL 20298  Pax végzáró profilhoz (4 db) ezüst</v>
      </c>
      <c r="G468" s="434"/>
      <c r="H468" s="434"/>
      <c r="I468" s="434" t="str">
        <f>J4</f>
        <v>ezüst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fehér fényes</v>
      </c>
      <c r="D469" s="435">
        <v>284529</v>
      </c>
      <c r="E469" s="432" t="str">
        <f>+VLOOKUP(A469,cennik!A:G,2,FALSE)</f>
        <v>SEVROLL Pax végzáró profilhoz (4 db) fényes fehér</v>
      </c>
      <c r="F469" s="432" t="str">
        <f>+VLOOKUP(A469,cennik!A:B,2,FALSE)</f>
        <v>SEVROLL Pax végzáró profilhoz (4 db) fényes fehér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matt feket</v>
      </c>
      <c r="D470" s="1">
        <v>422012</v>
      </c>
      <c r="E470" s="48" t="str">
        <f>+VLOOKUP(A470,cennik!A:G,2,FALSE)</f>
        <v>SEVROLL Pax végzáró profilhoz (4 db) matt fekete</v>
      </c>
      <c r="F470" s="48" t="str">
        <f>+VLOOKUP(A470,cennik!A:B,2,FALSE)</f>
        <v>SEVROLL Pax végzáró profilhoz (4 db) matt fekete</v>
      </c>
      <c r="I470" s="1" t="str">
        <f>J17</f>
        <v>matt feket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fék Hide N és M profilhoz</v>
      </c>
      <c r="F472" s="48" t="str">
        <f>+VLOOKUP(A472,cennik!A:B,2,FALSE)</f>
        <v>SEVROLL 20208 fék Hide N és M profilhoz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3000-ezüst</v>
      </c>
      <c r="D473" s="49">
        <v>283904</v>
      </c>
      <c r="E473" s="48" t="str">
        <f>+VLOOKUP(A473,cennik!A:G,2,FALSE)</f>
        <v>SEVROLL  04318  Pax merevítő 3m ezüst</v>
      </c>
      <c r="F473" s="48" t="str">
        <f>+VLOOKUP(A473,cennik!A:B,2,FALSE)</f>
        <v>SEVROLL  04318  Pax merevítő 3m ezüst</v>
      </c>
      <c r="H473" s="1">
        <v>3000</v>
      </c>
      <c r="I473" s="1" t="str">
        <f>J4</f>
        <v>ezüst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1500-ezüst</v>
      </c>
      <c r="D476" s="49">
        <v>224152</v>
      </c>
      <c r="E476" s="48" t="str">
        <f>+VLOOKUP(A476,cennik!A:G,2,FALSE)</f>
        <v>SEVROLL 03746 alsó takaró profil Simple/Blue 1,5m (10 mm-es rétegeltlemez) ezüst</v>
      </c>
      <c r="F476" s="48" t="str">
        <f>+VLOOKUP(A476,cennik!A:B,2,FALSE)</f>
        <v>SEVROLL 03746 alsó takaró profil Simple/Blue 1,5m (10 mm-es rétegeltlemez) ezüst</v>
      </c>
      <c r="H476" s="1">
        <v>1500</v>
      </c>
      <c r="I476" s="1" t="str">
        <f>CONCATENATE(H476,"-",J4)</f>
        <v>1500-ezüst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2000-ezüst</v>
      </c>
      <c r="D477" s="49">
        <v>224153</v>
      </c>
      <c r="E477" s="48" t="str">
        <f>+VLOOKUP(A477,cennik!A:G,2,FALSE)</f>
        <v>SEVROLL 03747 alsó takaró profil Simple/Blue 2m (10 mm-es rétegeltlemez) ezüst</v>
      </c>
      <c r="F477" s="48" t="str">
        <f>+VLOOKUP(A477,cennik!A:B,2,FALSE)</f>
        <v>SEVROLL 03747 alsó takaró profil Simple/Blue 2m (10 mm-es rétegeltlemez) ezüst</v>
      </c>
      <c r="H477" s="1">
        <v>2000</v>
      </c>
      <c r="I477" s="1" t="str">
        <f>CONCATENATE(H477,"-",J4)</f>
        <v>2000-ezüst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3000-ezüst</v>
      </c>
      <c r="D478" s="49">
        <v>222574</v>
      </c>
      <c r="E478" s="48" t="str">
        <f>+VLOOKUP(A478,cennik!A:G,2,FALSE)</f>
        <v>SEVROLL 03582  alsó takaró profil Simple/Blue 3m (10 mm-es rétegeltlemez) ezüst</v>
      </c>
      <c r="F478" s="48" t="str">
        <f>+VLOOKUP(A478,cennik!A:B,2,FALSE)</f>
        <v>SEVROLL 03582  alsó takaró profil Simple/Blue 3m (10 mm-es rétegeltlemez) ezüst</v>
      </c>
      <c r="H478" s="1">
        <v>3000</v>
      </c>
      <c r="I478" s="1" t="str">
        <f>CONCATENATE(H478,"-",J4)</f>
        <v>3000-ezüst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alsó takaró profil Simple/Blue 1,5m (10 mm-es rétegeltlemez) oliva</v>
      </c>
      <c r="F479" s="48" t="str">
        <f>+VLOOKUP(A479,cennik!A:B,2,FALSE)</f>
        <v>SEVROLL alsó takaró profil Simple/Blue 1,5m (10 mm-es rétegeltlemez)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alsó takaró profil Simple/Blue 2m (10 mm-es rétegeltlemez) oliva</v>
      </c>
      <c r="F480" s="48" t="str">
        <f>+VLOOKUP(A480,cennik!A:B,2,FALSE)</f>
        <v>SEVROLL alsó takaró profil Simple/Blue 2m (10 mm-es rétegeltlemez)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alsó fedőszalag Simple/Blue 3m (10mm-es laminált anyaghoz) olíva</v>
      </c>
      <c r="F481" s="48" t="str">
        <f>+VLOOKUP(A481,cennik!A:B,2,FALSE)</f>
        <v>SEVROLL 03583 alsó fedőszalag Simple/Blue 3m (10mm-es laminált anyaghoz) olíva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1500-ezüst</v>
      </c>
      <c r="D483" s="49">
        <v>224137</v>
      </c>
      <c r="E483" s="48" t="str">
        <f>+VLOOKUP(A483,cennik!A:G,2,FALSE)</f>
        <v>SEVROLL  04452 alsó takaró profil Simple/Blue 1,5m (18 mm-es rétegeltlemez) ezüs</v>
      </c>
      <c r="F483" s="48" t="str">
        <f>+VLOOKUP(A483,cennik!A:B,2,FALSE)</f>
        <v>SEVROLL  04452 alsó takaró profil Simple/Blue 1,5m (18 mm-es rétegeltlemez) ezüs</v>
      </c>
      <c r="H483" s="1">
        <v>1500</v>
      </c>
      <c r="I483" s="1" t="str">
        <f>CONCATENATE(H483,"-",J4)</f>
        <v>1500-ezüst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2000-ezüst</v>
      </c>
      <c r="D484" s="49">
        <v>224138</v>
      </c>
      <c r="E484" s="48" t="str">
        <f>+VLOOKUP(A484,cennik!A:G,2,FALSE)</f>
        <v>SEVROLL 04453 alsó takaró profil Simple/Blue 2m (18 mm-es rétegeltlemez) ezüst</v>
      </c>
      <c r="F484" s="48" t="str">
        <f>+VLOOKUP(A484,cennik!A:B,2,FALSE)</f>
        <v>SEVROLL 04453 alsó takaró profil Simple/Blue 2m (18 mm-es rétegeltlemez) ezüst</v>
      </c>
      <c r="H484" s="1">
        <v>2000</v>
      </c>
      <c r="I484" s="1" t="str">
        <f>CONCATENATE(H484,"-",J4)</f>
        <v>2000-ezüst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3000-ezüst</v>
      </c>
      <c r="D485" s="49">
        <v>222572</v>
      </c>
      <c r="E485" s="48" t="str">
        <f>+VLOOKUP(A485,cennik!A:G,2,FALSE)</f>
        <v>SEVROLL  04455 alsó takaró profil Simple/Blue 3m (18 mm-es rétegeltlemez) ezüst</v>
      </c>
      <c r="F485" s="48" t="str">
        <f>+VLOOKUP(A485,cennik!A:B,2,FALSE)</f>
        <v>SEVROLL  04455 alsó takaró profil Simple/Blue 3m (18 mm-es rétegeltlemez) ezüst</v>
      </c>
      <c r="H485" s="1">
        <v>3000</v>
      </c>
      <c r="I485" s="1" t="str">
        <f>CONCATENATE(H485,"-",J4)</f>
        <v>3000-ezüst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1500-matt feket</v>
      </c>
      <c r="D486" s="1">
        <v>488235</v>
      </c>
      <c r="E486" s="48" t="str">
        <f>+VLOOKUP(A486,cennik!A:G,2,FALSE)</f>
        <v>SEVROLL 05747 alsó takaró profil Simple/Blue 2m (RL: 18 mm) fekete matt</v>
      </c>
      <c r="F486" s="48" t="str">
        <f>+VLOOKUP(A486,cennik!A:B,2,FALSE)</f>
        <v>SEVROLL 05747 alsó takaró profil Simple/Blue 2m (RL: 18 mm) fekete matt</v>
      </c>
      <c r="H486" s="1">
        <v>1500</v>
      </c>
      <c r="I486" s="1" t="str">
        <f>CONCATENATE(H486,"-",J17)</f>
        <v>1500-matt feket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2000-matt feket</v>
      </c>
      <c r="D487" s="1">
        <v>488235</v>
      </c>
      <c r="E487" s="48" t="str">
        <f>+VLOOKUP(A487,cennik!A:G,2,FALSE)</f>
        <v>SEVROLL 05747 alsó takaró profil Simple/Blue 2m (RL: 18 mm) fekete matt</v>
      </c>
      <c r="F487" s="48" t="str">
        <f>+VLOOKUP(A487,cennik!A:B,2,FALSE)</f>
        <v>SEVROLL 05747 alsó takaró profil Simple/Blue 2m (RL: 18 mm) fekete matt</v>
      </c>
      <c r="H487" s="1">
        <v>2000</v>
      </c>
      <c r="I487" s="1" t="str">
        <f>CONCATENATE(H487,"-",J17)</f>
        <v>2000-matt feket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3000-matt feket</v>
      </c>
      <c r="D488" s="1">
        <v>488236</v>
      </c>
      <c r="E488" s="48" t="str">
        <f>+VLOOKUP(A488,cennik!A:G,2,FALSE)</f>
        <v>SEVROLL 05748 alsó takaró profil Simple/Blue 3m (RL: 18 mm) fekete matt</v>
      </c>
      <c r="F488" s="48" t="str">
        <f>+VLOOKUP(A488,cennik!A:B,2,FALSE)</f>
        <v>SEVROLL 05748 alsó takaró profil Simple/Blue 3m (RL: 18 mm) fekete matt</v>
      </c>
      <c r="H488" s="1">
        <v>3000</v>
      </c>
      <c r="I488" s="1" t="str">
        <f>CONCATENATE(H488,"-",J17)</f>
        <v>3000-matt feket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1500-fehér fényes</v>
      </c>
      <c r="D489" s="434">
        <v>394231</v>
      </c>
      <c r="E489" s="432" t="str">
        <f>+VLOOKUP(A489,cennik!A:G,2,FALSE)</f>
        <v>SEVROLL 04940 alsó takaró profil Simple/Blue 2m (RL: 18 mm) fényes fehér</v>
      </c>
      <c r="F489" s="432" t="str">
        <f>+VLOOKUP(A489,cennik!A:B,2,FALSE)</f>
        <v>SEVROLL 04940 alsó takaró profil Simple/Blue 2m (RL: 18 mm) fényes fehér</v>
      </c>
      <c r="G489" s="434"/>
      <c r="H489" s="434">
        <v>1500</v>
      </c>
      <c r="I489" s="434" t="str">
        <f>CONCATENATE(H489,"-",J15)</f>
        <v>1500-fehér fényes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2000-fehér fényes</v>
      </c>
      <c r="D490" s="434">
        <v>394231</v>
      </c>
      <c r="E490" s="432" t="str">
        <f>+VLOOKUP(A490,cennik!A:G,2,FALSE)</f>
        <v>SEVROLL 04940 alsó takaró profil Simple/Blue 2m (RL: 18 mm) fényes fehér</v>
      </c>
      <c r="F490" s="432" t="str">
        <f>+VLOOKUP(A490,cennik!A:B,2,FALSE)</f>
        <v>SEVROLL 04940 alsó takaró profil Simple/Blue 2m (RL: 18 mm) fényes fehér</v>
      </c>
      <c r="G490" s="434"/>
      <c r="H490" s="434">
        <v>2000</v>
      </c>
      <c r="I490" s="434" t="str">
        <f>CONCATENATE(H490,"-",J15)</f>
        <v>2000-fehér fényes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3000-fehér fényes</v>
      </c>
      <c r="D491" s="434">
        <v>394265</v>
      </c>
      <c r="E491" s="432" t="str">
        <f>+VLOOKUP(A491,cennik!A:G,2,FALSE)</f>
        <v>SEVROLL 04941 alsó takaró profil Simple/Blue 3m (RL: 18 mm) fényes fehér</v>
      </c>
      <c r="F491" s="432" t="str">
        <f>+VLOOKUP(A491,cennik!A:B,2,FALSE)</f>
        <v>SEVROLL 04941 alsó takaró profil Simple/Blue 3m (RL: 18 mm) fényes fehér</v>
      </c>
      <c r="G491" s="434"/>
      <c r="H491" s="434">
        <v>3000</v>
      </c>
      <c r="I491" s="434" t="str">
        <f>CONCATENATE(H491,"-",J15)</f>
        <v>3000-fehér fényes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 04449 alsó takaró profil Simple/Blue 2m (18 mm-es rétegeltlemez) oliva</v>
      </c>
      <c r="F492" s="48" t="str">
        <f>+VLOOKUP(A492,cennik!A:B,2,FALSE)</f>
        <v>SEVROLL  04449 alsó takaró profil Simple/Blue 2m (18 mm-es rétegeltlemez)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 04449 alsó takaró profil Simple/Blue 2m (18 mm-es rétegeltlemez) oliva</v>
      </c>
      <c r="F493" s="48" t="str">
        <f>+VLOOKUP(A493,cennik!A:B,2,FALSE)</f>
        <v>SEVROLL  04449 alsó takaró profil Simple/Blue 2m (18 mm-es rétegeltlemez)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 04451 alsó takaró profil Simple/Blue 3m (18 mm-es rétegeltlemez) oliva</v>
      </c>
      <c r="F494" s="48" t="str">
        <f>+VLOOKUP(A494,cennik!A:B,2,FALSE)</f>
        <v>SEVROLL  04451 alsó takaró profil Simple/Blue 3m (18 mm-es rétegeltlemez)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ezüst</v>
      </c>
      <c r="D496" s="428">
        <v>89236</v>
      </c>
      <c r="E496" s="426" t="str">
        <f>+VLOOKUP(A496,cennik!A:G,2,FALSE)</f>
        <v>SEVROLL 00207 összekötő profil H10 3m ezüst</v>
      </c>
      <c r="F496" s="426" t="str">
        <f>+VLOOKUP(A496,cennik!A:B,2,FALSE)</f>
        <v>SEVROLL 00207 összekötő profil H10 3m ezüst</v>
      </c>
      <c r="G496" s="425" t="e">
        <f>+VLOOKUP(A496,#REF!,4,FALSE)</f>
        <v>#REF!</v>
      </c>
      <c r="I496" s="425" t="str">
        <f t="shared" ref="I496:I501" si="11">J4</f>
        <v>ezüst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arany/sárgaréz</v>
      </c>
      <c r="D497" s="428">
        <v>542870</v>
      </c>
      <c r="E497" s="426" t="str">
        <f>+VLOOKUP(A497,cennik!A:G,2,FALSE)</f>
        <v>SEVROLL 06793 összekötő profil H10 3m arany/sárgaréz</v>
      </c>
      <c r="F497" s="426" t="str">
        <f>+VLOOKUP(A497,cennik!A:B,2,FALSE)</f>
        <v>SEVROLL 06793 összekötő profil H10 3m arany/sárgaréz</v>
      </c>
      <c r="G497" s="425" t="e">
        <f>+VLOOKUP(A497,#REF!,4,FALSE)</f>
        <v>#REF!</v>
      </c>
      <c r="I497" s="425" t="str">
        <f t="shared" si="11"/>
        <v>arany/sárgaréz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00204 összekötő profil H10 3m oliva</v>
      </c>
      <c r="F498" s="426" t="str">
        <f>+VLOOKUP(A498,cennik!A:B,2,FALSE)</f>
        <v>SEVROLL 00204 összekötő profil H10 3m oliva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kefélt oliva</v>
      </c>
      <c r="D499" s="428">
        <v>121028</v>
      </c>
      <c r="E499" s="426" t="str">
        <f>+VLOOKUP(A499,cennik!A:G,2,FALSE)</f>
        <v>SEVROLL 02493-Y összekötő profil H10 3m oliva szálcsiszolt</v>
      </c>
      <c r="F499" s="426" t="str">
        <f>+VLOOKUP(A499,cennik!A:B,2,FALSE)</f>
        <v>SEVROLL 02493-Y összekötő profil H10 3m oliva szálcsiszolt</v>
      </c>
      <c r="I499" s="425" t="str">
        <f t="shared" si="11"/>
        <v>kefélt oliva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szálcsi.oliva sö.</v>
      </c>
      <c r="D500" s="428">
        <v>205160</v>
      </c>
      <c r="E500" s="426" t="str">
        <f>+VLOOKUP(A500,cennik!A:G,2,FALSE)</f>
        <v>SEVROLL összekötő profil H10 3m oliva sötét szálcsiszolt</v>
      </c>
      <c r="F500" s="426" t="str">
        <f>+VLOOKUP(A500,cennik!A:B,2,FALSE)</f>
        <v>SEVROLL összekötő profil H10 3m oliva sötét szálcsiszolt</v>
      </c>
      <c r="I500" s="425" t="str">
        <f t="shared" si="11"/>
        <v>szálcsi.oliva sö.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szálcsi.fekete</v>
      </c>
      <c r="D501" s="428">
        <v>205161</v>
      </c>
      <c r="E501" s="426" t="str">
        <f>+VLOOKUP(A501,cennik!A:G,2,FALSE)</f>
        <v>SEVROLL 03103  összekötő profil H10 3m fekete szálcsiszolt</v>
      </c>
      <c r="F501" s="426" t="str">
        <f>+VLOOKUP(A501,cennik!A:B,2,FALSE)</f>
        <v>SEVROLL 03103  összekötő profil H10 3m fekete szálcsiszolt</v>
      </c>
      <c r="I501" s="425" t="str">
        <f t="shared" si="11"/>
        <v>szálcsi.fekete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fehér fényes</v>
      </c>
      <c r="D502" s="428">
        <v>276739</v>
      </c>
      <c r="E502" s="426" t="str">
        <f>+VLOOKUP(A502,cennik!A:G,2,FALSE)</f>
        <v>SEVROLL04050  összekötő profil H10 3m fényes fehér</v>
      </c>
      <c r="F502" s="426" t="str">
        <f>+VLOOKUP(A502,cennik!A:B,2,FALSE)</f>
        <v>SEVROLL04050  összekötő profil H10 3m fényes fehér</v>
      </c>
      <c r="G502" s="425"/>
      <c r="H502" s="425"/>
      <c r="I502" s="425" t="str">
        <f>J15</f>
        <v>fehér fényes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matt fehér</v>
      </c>
      <c r="D503" s="427">
        <v>497953</v>
      </c>
      <c r="E503" s="426" t="str">
        <f>+VLOOKUP(A503,cennik!A:G,2,FALSE)</f>
        <v>SEVROLL 05181  összekötő profil H10 3m matt fehér</v>
      </c>
      <c r="F503" s="426" t="str">
        <f>+VLOOKUP(A503,cennik!A:B,2,FALSE)</f>
        <v>SEVROLL 05181  összekötő profil H10 3m matt fehér</v>
      </c>
      <c r="G503" s="425"/>
      <c r="H503" s="425"/>
      <c r="I503" s="425" t="str">
        <f>J18</f>
        <v>matt fehér</v>
      </c>
    </row>
    <row r="504" spans="1:26" ht="15" customHeight="1" x14ac:dyDescent="0.3">
      <c r="A504" s="427">
        <v>395508</v>
      </c>
      <c r="B504" s="425"/>
      <c r="C504" s="425" t="str">
        <f>J16</f>
        <v>fényes fekete</v>
      </c>
      <c r="D504" s="427">
        <v>395508</v>
      </c>
      <c r="E504" s="426" t="str">
        <f>+VLOOKUP(A504,cennik!A:G,2,FALSE)</f>
        <v>SEVROLL 05182 összekötő profil H10 3m fényes fekete</v>
      </c>
      <c r="F504" s="426" t="str">
        <f>+VLOOKUP(A504,cennik!A:B,2,FALSE)</f>
        <v>SEVROLL 05182 összekötő profil H10 3m fényes fekete</v>
      </c>
      <c r="G504" s="426" t="e">
        <f>+VLOOKUP(C504,cennik!A:G,2,FALSE)</f>
        <v>#N/A</v>
      </c>
      <c r="H504" s="425"/>
      <c r="I504" s="425" t="str">
        <f>J16</f>
        <v>fényes fekete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összekötő profil H10 3m grafit</v>
      </c>
      <c r="F505" s="426" t="str">
        <f>+VLOOKUP(A505,cennik!A:B,2,FALSE)</f>
        <v>SEVROLL 05971 összekötő profil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matt feket</v>
      </c>
      <c r="D506" s="427">
        <v>452761</v>
      </c>
      <c r="E506" s="426" t="str">
        <f>+VLOOKUP(A506,cennik!A:G,2,FALSE)</f>
        <v>SEVROLL összekötő profil H10 3m matt fekete</v>
      </c>
      <c r="F506" s="426" t="str">
        <f>+VLOOKUP(A506,cennik!A:B,2,FALSE)</f>
        <v>SEVROLL összekötő profil H10 3m matt fekete</v>
      </c>
      <c r="G506" s="425"/>
      <c r="H506" s="425"/>
      <c r="I506" s="425" t="str">
        <f>J17</f>
        <v>matt feket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fekete szerkezeti</v>
      </c>
      <c r="D507" s="196">
        <v>526501</v>
      </c>
      <c r="E507" s="426" t="str">
        <f>+VLOOKUP(A507,cennik!A:G,2,FALSE)</f>
        <v>SEVROLL 06125 összekötő profil H10 3m  fekete szerkezeti</v>
      </c>
      <c r="F507" s="426" t="str">
        <f>+VLOOKUP(A507,cennik!A:B,2,FALSE)</f>
        <v>SEVROLL 06125 összekötő profil H10 3m  fekete szerkezeti</v>
      </c>
      <c r="G507" s="425"/>
      <c r="H507" s="425"/>
      <c r="I507" s="425" t="str">
        <f>J22</f>
        <v>fekete szerkezeti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ezüst</v>
      </c>
      <c r="D508" s="49">
        <v>89069</v>
      </c>
      <c r="E508" s="48" t="str">
        <f>+VLOOKUP(A508,cennik!A:G,2,FALSE)</f>
        <v>SEVROLL 00222  összekötő profil H30 3m ezüst</v>
      </c>
      <c r="F508" s="48" t="str">
        <f>+VLOOKUP(A508,cennik!A:B,2,FALSE)</f>
        <v>SEVROLL 00222  összekötő profil H30 3m ezüst</v>
      </c>
      <c r="G508" s="1" t="e">
        <f>+VLOOKUP(A508,#REF!,4,FALSE)</f>
        <v>#REF!</v>
      </c>
      <c r="I508" s="1" t="str">
        <f t="shared" ref="I508:I513" si="14">J4</f>
        <v>ezüst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arany/sárgaréz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arany/sárgaréz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összekötő profil H30 3m oliva</v>
      </c>
      <c r="F510" s="48" t="str">
        <f>+VLOOKUP(A510,cennik!A:B,2,FALSE)</f>
        <v>SEVROLL 00219 összekötő profil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kefélt oliva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kefélt oliva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szálcsi.oliva sö.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szálcsi.oliva sö.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szálcsi.fekete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szálcsi.fekete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fehér fényes</v>
      </c>
      <c r="D514" s="49">
        <v>308627</v>
      </c>
      <c r="E514" s="48" t="str">
        <f>+VLOOKUP(A514,cennik!A:G,2,FALSE)</f>
        <v>SEVROLL összekötő profil H30 3m fényes fehér</v>
      </c>
      <c r="F514" s="48" t="str">
        <f>+VLOOKUP(A514,cennik!A:B,2,FALSE)</f>
        <v>SEVROLL összekötő profil H30 3m fényes fehér</v>
      </c>
      <c r="I514" s="1" t="str">
        <f>J15</f>
        <v>fehér fényes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matt feket</v>
      </c>
      <c r="D515" s="425">
        <v>452604</v>
      </c>
      <c r="E515" s="426" t="str">
        <f>+VLOOKUP(A515,cennik!A:G,2,FALSE)</f>
        <v>SEVROLL összekötő profil H30 3m matt fekete</v>
      </c>
      <c r="F515" s="426" t="str">
        <f>+VLOOKUP(A515,cennik!A:B,2,FALSE)</f>
        <v>SEVROLL összekötő profil H30 3m matt fekete</v>
      </c>
      <c r="G515" s="425"/>
      <c r="H515" s="425"/>
      <c r="I515" s="425" t="str">
        <f>J17</f>
        <v>matt feket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fényes fekete</v>
      </c>
      <c r="D516" s="49" t="s">
        <v>111</v>
      </c>
      <c r="E516" s="48"/>
      <c r="F516" s="48"/>
      <c r="G516" s="1"/>
      <c r="H516" s="1"/>
      <c r="I516" s="425" t="str">
        <f>J16</f>
        <v>fényes fekete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ezüst</v>
      </c>
      <c r="D517" s="49">
        <v>336796</v>
      </c>
      <c r="E517" s="48" t="str">
        <f>+VLOOKUP(A517,cennik!A:G,2,FALSE)</f>
        <v>SEVROLL 04447  összekötő profil Simple/Blue H21 3m (18 mm-es rétegeltlemez) ezüs</v>
      </c>
      <c r="F517" s="48" t="str">
        <f>+VLOOKUP(A517,cennik!A:B,2,FALSE)</f>
        <v>SEVROLL 04447  összekötő profil Simple/Blue H21 3m (18 mm-es rétegeltlemez) ezüs</v>
      </c>
      <c r="I517" s="1" t="str">
        <f>J4</f>
        <v>ezüst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matt feket</v>
      </c>
      <c r="D518" s="2">
        <v>488239</v>
      </c>
      <c r="E518" s="48" t="str">
        <f>+VLOOKUP(A518,cennik!A:G,2,FALSE)</f>
        <v>SEVROLL 05746 összekötő profil Simple/Blue H21 3m (RL:18mm) fekete matt</v>
      </c>
      <c r="F518" s="48" t="str">
        <f>+VLOOKUP(A518,cennik!A:B,2,FALSE)</f>
        <v>SEVROLL 05746 összekötő profil Simple/Blue H21 3m (RL:18mm) fekete matt</v>
      </c>
      <c r="I518" s="1" t="str">
        <f>J17</f>
        <v>matt feket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fehér fényes</v>
      </c>
      <c r="D519" s="434">
        <v>394273</v>
      </c>
      <c r="E519" s="432" t="str">
        <f>+VLOOKUP(A519,cennik!A:G,2,FALSE)</f>
        <v>SEVROLL 04929 összekötő profil Simple/Blue H21 3m (RL:18mm) fényes fehér</v>
      </c>
      <c r="F519" s="432" t="str">
        <f>+VLOOKUP(A519,cennik!A:B,2,FALSE)</f>
        <v>SEVROLL 04929 összekötő profil Simple/Blue H21 3m (RL:18mm) fényes fehér</v>
      </c>
      <c r="G519" s="434"/>
      <c r="H519" s="434"/>
      <c r="I519" s="434" t="str">
        <f>J15</f>
        <v>fehér fényes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 04446  összekötő profil Simple/Blue H21 3m (18 mm-es rétegeltlemez) oli</v>
      </c>
      <c r="F520" s="48" t="str">
        <f>+VLOOKUP(A520,cennik!A:B,2,FALSE)</f>
        <v>SEVROLL  04446  összekötő profil Simple/Blue H21 3m (18 mm-es rétegeltlemez) oli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ezüst</v>
      </c>
      <c r="D521" s="49">
        <v>328825</v>
      </c>
      <c r="E521" s="48" t="str">
        <f>+VLOOKUP(A521,cennik!A:G,2,FALSE)</f>
        <v>SEVROLL 04445 összekötő profil Simple/Blue H28 3m (18 mm-es rétegeltlemez) ezüst</v>
      </c>
      <c r="F521" s="48" t="str">
        <f>+VLOOKUP(A521,cennik!A:B,2,FALSE)</f>
        <v>SEVROLL 04445 összekötő profil Simple/Blue H28 3m (18 mm-es rétegeltlemez) ezüst</v>
      </c>
      <c r="I521" s="1" t="str">
        <f>J4</f>
        <v>ezüst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fehér fényes</v>
      </c>
      <c r="D522" s="434">
        <v>394281</v>
      </c>
      <c r="E522" s="432" t="str">
        <f>+VLOOKUP(A522,cennik!A:G,2,FALSE)</f>
        <v>SEVROLL 04932 összekötő profil Simple/Blue H28 3m (RL:18mm) fényes fehér</v>
      </c>
      <c r="F522" s="432" t="str">
        <f>+VLOOKUP(A522,cennik!A:B,2,FALSE)</f>
        <v>SEVROLL 04932 összekötő profil Simple/Blue H28 3m (RL:18mm) fényes fehér</v>
      </c>
      <c r="G522" s="434"/>
      <c r="H522" s="434"/>
      <c r="I522" s="434" t="str">
        <f>J15</f>
        <v>fehér fényes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 04444 összekötő profil Simple/Blue H28 3m (18 mm-es rétegeltlemez) oliv</v>
      </c>
      <c r="F523" s="48" t="str">
        <f>+VLOOKUP(A523,cennik!A:B,2,FALSE)</f>
        <v>SEVROLL  04444 összekötő profil Simple/Blue H28 3m (18 mm-es rétegeltlemez) oliv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matt feket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ezüst</v>
      </c>
      <c r="D525" s="49">
        <v>98070</v>
      </c>
      <c r="E525" s="48" t="str">
        <f>+VLOOKUP(A525,cennik!A:G,2,FALSE)</f>
        <v>SEVROLL  02284 Gemini-2 fogantyú profil 2,7m ezüst</v>
      </c>
      <c r="F525" s="48" t="str">
        <f>+VLOOKUP(A525,cennik!A:B,2,FALSE)</f>
        <v>SEVROLL  02284 Gemini-2 fogantyú profil 2,7m ezüst</v>
      </c>
      <c r="G525" s="1" t="e">
        <f>+VLOOKUP(A525,#REF!,4,FALSE)</f>
        <v>#REF!</v>
      </c>
      <c r="I525" s="1" t="str">
        <f>J4</f>
        <v>ezüst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matt feket</v>
      </c>
      <c r="D526" s="49">
        <v>278164</v>
      </c>
      <c r="E526" s="48" t="str">
        <f>+VLOOKUP(A526,cennik!A:G,2,FALSE)</f>
        <v>SEVROLL Gemini fogantyú profil 2,7m matt feket</v>
      </c>
      <c r="F526" s="48" t="str">
        <f>+VLOOKUP(A526,cennik!A:B,2,FALSE)</f>
        <v>SEVROLL Gemini fogantyú profil 2,7m matt feket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 02283 Gemini-2 fogantyú profil 2,7m oliva</v>
      </c>
      <c r="F527" s="48" t="str">
        <f>+VLOOKUP(A527,cennik!A:B,2,FALSE)</f>
        <v>SEVROLL  02283 Gemini-2 fogantyú profil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ezüst</v>
      </c>
      <c r="D528" s="48">
        <v>394690</v>
      </c>
      <c r="E528" s="48" t="str">
        <f>+VLOOKUP(A528,cennik!A:G,2,FALSE)</f>
        <v>SEVROLL04921  Lynx fogantyú profil 2,7m ezüst</v>
      </c>
      <c r="F528" s="48" t="str">
        <f>+VLOOKUP(A528,cennik!A:B,2,FALSE)</f>
        <v>SEVROLL04921  Lynx fogantyú profil 2,7m ezüst</v>
      </c>
      <c r="I528" s="1" t="str">
        <f>J4</f>
        <v>ezüst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SEVROLL04920  Lynx fogantyú profil 2,7m oliva</v>
      </c>
      <c r="F529" s="48" t="str">
        <f>+VLOOKUP(A529,cennik!A:B,2,FALSE)</f>
        <v>SEVROLL04920  Lynx fogantyú profil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arany/sárgaréz</v>
      </c>
      <c r="D530" s="49">
        <v>542873</v>
      </c>
      <c r="E530" s="48" t="str">
        <f>+VLOOKUP(A530,cennik!A:G,2,FALSE)</f>
        <v>SEVROLL 06822 Gemini fogantyú profil 2,7m arany/sárgaréz</v>
      </c>
      <c r="F530" s="48" t="str">
        <f>+VLOOKUP(A530,cennik!A:B,2,FALSE)</f>
        <v>SEVROLL 06822 Gemini fogantyú profil 2,7m arany/sárgaréz</v>
      </c>
      <c r="G530" s="1" t="e">
        <f>+VLOOKUP(A530,#REF!,4,FALSE)</f>
        <v>#REF!</v>
      </c>
      <c r="I530" s="1" t="str">
        <f>J5</f>
        <v>arany/sárgaréz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fekete szerkezeti</v>
      </c>
      <c r="D531" s="196">
        <v>525015</v>
      </c>
      <c r="E531" s="48" t="str">
        <f>+VLOOKUP(A531,cennik!A:G,2,FALSE)</f>
        <v>SEVROLL 06370 Gemini fogantyú profil 2,7m fekete szerkezeti</v>
      </c>
      <c r="F531" s="48" t="str">
        <f>+VLOOKUP(A531,cennik!A:B,2,FALSE)</f>
        <v>SEVROLL 06370 Gemini fogantyú profil 2,7m fekete szerkezeti</v>
      </c>
      <c r="G531" s="1" t="e">
        <f>+VLOOKUP(A531,#REF!,4,FALSE)</f>
        <v>#REF!</v>
      </c>
      <c r="I531" s="1" t="str">
        <f>J22</f>
        <v>fekete szerkezeti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ezüst</v>
      </c>
      <c r="D532" s="49">
        <v>135366</v>
      </c>
      <c r="E532" s="48" t="str">
        <f>+VLOOKUP(A532,cennik!A:G,2,FALSE)</f>
        <v>SEVROLL 02692 Romeo II fogantyú profil 2,7m ezüst</v>
      </c>
      <c r="F532" s="48" t="str">
        <f>+VLOOKUP(A532,cennik!A:B,2,FALSE)</f>
        <v>SEVROLL 02692 Romeo II fogantyú profil 2,7m ezüst</v>
      </c>
      <c r="G532" s="1" t="e">
        <f>+VLOOKUP(A532,#REF!,4,FALSE)</f>
        <v>#REF!</v>
      </c>
      <c r="I532" s="1" t="str">
        <f>J4</f>
        <v>ezüst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fogantyú profil 2,7m oliva</v>
      </c>
      <c r="F533" s="48" t="str">
        <f>+VLOOKUP(A533,cennik!A:B,2,FALSE)</f>
        <v>SEVROLL 02690 Romeo II fogantyú profil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ezüst</v>
      </c>
      <c r="D535" s="49">
        <v>135344</v>
      </c>
      <c r="E535" s="48" t="str">
        <f>+VLOOKUP(A535,cennik!A:G,2,FALSE)</f>
        <v>SEVROLL 02713  Julia II fogantyú profil 2,7m ezüst</v>
      </c>
      <c r="F535" s="48" t="str">
        <f>+VLOOKUP(A535,cennik!A:B,2,FALSE)</f>
        <v>SEVROLL 02713  Julia II fogantyú profil 2,7m ezüst</v>
      </c>
      <c r="G535" s="1" t="e">
        <f>+VLOOKUP(A535,#REF!,4,FALSE)</f>
        <v>#REF!</v>
      </c>
      <c r="I535" s="1" t="str">
        <f>J4</f>
        <v>ezüst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fogantyú profil 2,7m oliva</v>
      </c>
      <c r="F536" s="48" t="str">
        <f>+VLOOKUP(A536,cennik!A:B,2,FALSE)</f>
        <v>SEVROLL 02711 Julia II fogantyú profil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fogantyú profil 2,7m oliva</v>
      </c>
      <c r="F538" s="48" t="str">
        <f>+VLOOKUP(A538,cennik!A:B,2,FALSE)</f>
        <v>SEVROLL Karat fogantyú profil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ezüst</v>
      </c>
      <c r="D539" s="195">
        <v>223572</v>
      </c>
      <c r="E539" s="48" t="str">
        <f>+VLOOKUP(A539,cennik!A:G,2,FALSE)</f>
        <v>SEVROLL 03173 Karat fogantyú profil 2,7m ezüst</v>
      </c>
      <c r="F539" s="48" t="str">
        <f>+VLOOKUP(A539,cennik!A:B,2,FALSE)</f>
        <v>SEVROLL 03173 Karat fogantyú profil 2,7m ezüst</v>
      </c>
      <c r="I539" s="1" t="str">
        <f>J4</f>
        <v>ezüst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ezüst</v>
      </c>
      <c r="D542" s="49">
        <v>179229</v>
      </c>
      <c r="E542" s="48" t="str">
        <f>+VLOOKUP(A542,cennik!A:G,2,FALSE)</f>
        <v>SEVROLL03048  Future II fogantyú profil 2,7m ezüst</v>
      </c>
      <c r="F542" s="48" t="str">
        <f>+VLOOKUP(A542,cennik!A:B,2,FALSE)</f>
        <v>SEVROLL03048  Future II fogantyú profil 2,7m ezüst</v>
      </c>
      <c r="G542" s="1" t="e">
        <f>+VLOOKUP(A542,#REF!,4,FALSE)</f>
        <v>#REF!</v>
      </c>
      <c r="I542" s="1" t="str">
        <f>J4</f>
        <v>ezüst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Future II fogantyú profil 2,7m oliva</v>
      </c>
      <c r="F543" s="48" t="str">
        <f>+VLOOKUP(A543,cennik!A:B,2,FALSE)</f>
        <v>SEVROLL Future II fogantyú profil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ezüst</v>
      </c>
      <c r="D545" s="58">
        <v>179224</v>
      </c>
      <c r="E545" s="48" t="str">
        <f>+VLOOKUP(A545,cennik!A:G,2,FALSE)</f>
        <v>SEVROLL 03049 Future II fogantyú profil 3,5m ezüst</v>
      </c>
      <c r="F545" s="48" t="str">
        <f>+VLOOKUP(A545,cennik!A:B,2,FALSE)</f>
        <v>SEVROLL 03049 Future II fogantyú profil 3,5m ezüst</v>
      </c>
      <c r="I545" s="1" t="str">
        <f>J4</f>
        <v>ezüst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Future II fogantyú profil 3,5m oliva</v>
      </c>
      <c r="F546" s="48" t="str">
        <f>+VLOOKUP(A546,cennik!A:B,2,FALSE)</f>
        <v>SEVROLL Future II fogantyú profil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ezüst</v>
      </c>
      <c r="D548" s="169">
        <v>100102</v>
      </c>
      <c r="E548" s="48" t="str">
        <f>+VLOOKUP(A548,cennik!A:G,2,FALSE)</f>
        <v>SEVROLL 02376 Master fogantyú profil 2,7m ezüst</v>
      </c>
      <c r="F548" s="48" t="str">
        <f>+VLOOKUP(A548,cennik!A:B,2,FALSE)</f>
        <v>SEVROLL 02376 Master fogantyú profil 2,7m ezüst</v>
      </c>
      <c r="I548" s="1" t="str">
        <f>J4</f>
        <v>ezüst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fogantyú profil 2,7m oliva</v>
      </c>
      <c r="F549" s="48" t="str">
        <f>+VLOOKUP(A549,cennik!A:B,2,FALSE)</f>
        <v>SEVROLL 02377 Master fogantyú profil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ezüst</v>
      </c>
      <c r="D550" s="169">
        <v>100105</v>
      </c>
      <c r="E550" s="48" t="str">
        <f>+VLOOKUP(A550,cennik!A:G,2,FALSE)</f>
        <v>SEVROLL  02379 Master fogantyú profil 3m ezüst</v>
      </c>
      <c r="F550" s="48" t="str">
        <f>+VLOOKUP(A550,cennik!A:B,2,FALSE)</f>
        <v>SEVROLL  02379 Master fogantyú profil 3m ezüst</v>
      </c>
      <c r="I550" s="1" t="str">
        <f>J4</f>
        <v>ezüst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fogantyú profil 3m oliva</v>
      </c>
      <c r="F551" s="48" t="str">
        <f>+VLOOKUP(A551,cennik!A:B,2,FALSE)</f>
        <v>SEVROLL 02380 Master fogantyú profil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ezüst</v>
      </c>
      <c r="D553" s="169">
        <v>215234</v>
      </c>
      <c r="E553" s="48" t="str">
        <f>+VLOOKUP(A553,cennik!A:G,2,FALSE)</f>
        <v>SEVROLL 03433 Polo fogantyú profil 10mm 2,70m ezüst</v>
      </c>
      <c r="F553" s="48" t="str">
        <f>+VLOOKUP(A553,cennik!A:B,2,FALSE)</f>
        <v>SEVROLL 03433 Polo fogantyú profil 10mm 2,70m ezüst</v>
      </c>
      <c r="I553" s="1" t="str">
        <f>J4</f>
        <v>ezüst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megfogósín 10mm 2,70m olajbogyó</v>
      </c>
      <c r="F554" s="48" t="str">
        <f>+VLOOKUP(A554,cennik!A:B,2,FALSE)</f>
        <v>SEVROLL 03579 Polo megfogósín 10mm 2,70m olajbogyó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ezüst</v>
      </c>
      <c r="D556" s="169">
        <v>215233</v>
      </c>
      <c r="E556" s="48" t="str">
        <f>+VLOOKUP(A556,cennik!A:G,2,FALSE)</f>
        <v>SEVROLL 03434 Fala fogantyú profil 10mm 2,70m ezüst</v>
      </c>
      <c r="F556" s="48" t="str">
        <f>+VLOOKUP(A556,cennik!A:B,2,FALSE)</f>
        <v>SEVROLL 03434 Fala fogantyú profil 10mm 2,70m ezüst</v>
      </c>
      <c r="I556" s="1" t="str">
        <f>J4</f>
        <v>ezüst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megfogó rúd 10mm 2,70m olívaolaj színű</v>
      </c>
      <c r="F557" s="48" t="str">
        <f>+VLOOKUP(A557,cennik!A:B,2,FALSE)</f>
        <v>SEVROLL 03578 Fala megfogó rúd 10mm 2,70m olívaolaj színű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ezüst</v>
      </c>
      <c r="D559" s="169">
        <v>349474</v>
      </c>
      <c r="E559" s="48" t="str">
        <f>+VLOOKUP(A559,cennik!A:G,2,FALSE)</f>
        <v>SEVROLL  04512 Era fogantyú profil 18mm 2,70m ezüst</v>
      </c>
      <c r="F559" s="48" t="str">
        <f>+VLOOKUP(A559,cennik!A:B,2,FALSE)</f>
        <v>SEVROLL  04512 Era fogantyú profil 18mm 2,70m ezüst</v>
      </c>
      <c r="I559" s="1" t="str">
        <f>J4</f>
        <v>ezüst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matt feket</v>
      </c>
      <c r="D560" s="58">
        <v>488246</v>
      </c>
      <c r="E560" s="48" t="str">
        <f>+VLOOKUP(A560,cennik!A:G,2,FALSE)</f>
        <v>SEVROLL 05745 Era fogantyú profil 18mm 2,70m fekete matt</v>
      </c>
      <c r="F560" s="48" t="str">
        <f>+VLOOKUP(A560,cennik!A:B,2,FALSE)</f>
        <v>SEVROLL 05745 Era fogantyú profil 18mm 2,70m fekete matt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fehér fényes</v>
      </c>
      <c r="D561" s="434">
        <v>372603</v>
      </c>
      <c r="E561" s="432" t="str">
        <f>+VLOOKUP(A561,cennik!A:G,2,FALSE)</f>
        <v>Sevroll 04933 Era fogantyú profil 18mm 2,70m fehér fényes</v>
      </c>
      <c r="F561" s="432" t="str">
        <f>+VLOOKUP(A561,cennik!A:B,2,FALSE)</f>
        <v>Sevroll 04933 Era fogantyú profil 18mm 2,70m fehér fényes</v>
      </c>
      <c r="G561" s="434"/>
      <c r="H561" s="434"/>
      <c r="I561" s="434" t="str">
        <f>J15</f>
        <v>fehér fényes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 Era fogantyú profil 18mm 2,70m oliva</v>
      </c>
      <c r="F562" s="48" t="str">
        <f>+VLOOKUP(A562,cennik!A:B,2,FALSE)</f>
        <v>SEVROLL 04511  Era fogantyú profil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ezüst</v>
      </c>
      <c r="D564" s="169">
        <v>341559</v>
      </c>
      <c r="E564" s="48" t="str">
        <f>+VLOOKUP(A564,cennik!A:G,2,FALSE)</f>
        <v>SEVROLL 04748 Rekord fogantyú profil 18mm 2,70m ezüst</v>
      </c>
      <c r="F564" s="48" t="str">
        <f>+VLOOKUP(A564,cennik!A:B,2,FALSE)</f>
        <v>SEVROLL 04748 Rekord fogantyú profil 18mm 2,70m ezüst</v>
      </c>
      <c r="I564" s="1" t="str">
        <f>J4</f>
        <v>ezüst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matt feket</v>
      </c>
      <c r="D565" s="169">
        <v>488247</v>
      </c>
      <c r="E565" s="48" t="str">
        <f>+VLOOKUP(A565,cennik!A:G,2,FALSE)</f>
        <v>SEVROLL 05909 Rekord fogantyú profil 18mm 2,70m fekete matt</v>
      </c>
      <c r="F565" s="48" t="str">
        <f>+VLOOKUP(A565,cennik!A:B,2,FALSE)</f>
        <v>SEVROLL 05909 Rekord fogantyú profil 18mm 2,70m fekete matt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 04747 Rekord fogantyú profil 18mm 2,70m oliva</v>
      </c>
      <c r="F566" s="48" t="str">
        <f>+VLOOKUP(A566,cennik!A:B,2,FALSE)</f>
        <v>SEVROLL  04747 Rekord fogantyú profil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ezüst</v>
      </c>
      <c r="D568" s="439">
        <v>222788</v>
      </c>
      <c r="E568" s="438" t="str">
        <f>+VLOOKUP(A568,cennik!A:G,2,FALSE)</f>
        <v>SEVROLL  04530 Alfa II fogantyú profil 18mm 2,70m ezüst</v>
      </c>
      <c r="F568" s="438" t="str">
        <f>+VLOOKUP(A568,cennik!A:B,2,FALSE)</f>
        <v>SEVROLL  04530 Alfa II fogantyú profil 18mm 2,70m ezüst</v>
      </c>
      <c r="I568" s="437" t="str">
        <f>J4</f>
        <v>ezüst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fogantyú profil 18mm 2,70m oliva</v>
      </c>
      <c r="F569" s="438" t="str">
        <f>+VLOOKUP(A569,cennik!A:B,2,FALSE)</f>
        <v>SEVROLL 04529 Alfa II fogantyú profil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arany/sárgaréz</v>
      </c>
      <c r="D570" s="439">
        <v>542574</v>
      </c>
      <c r="E570" s="438" t="str">
        <f>+VLOOKUP(A570,cennik!A:G,2,FALSE)</f>
        <v>SEVROLL 06816 Alfa II fog.profil 16/18mm 2,70m arany/sárgaréz</v>
      </c>
      <c r="F570" s="438" t="str">
        <f>+VLOOKUP(A570,cennik!A:B,2,FALSE)</f>
        <v>SEVROLL 06816 Alfa II fog.profil 16/18mm 2,70m arany/sárgaréz</v>
      </c>
      <c r="I570" s="437" t="str">
        <f>J5</f>
        <v>arany/sárgaréz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fehér fényes</v>
      </c>
      <c r="D571" s="439">
        <v>276730</v>
      </c>
      <c r="E571" s="438" t="str">
        <f>+VLOOKUP(A571,cennik!A:G,2,FALSE)</f>
        <v>SEVROLL  04532 Alfa II profil 18mm 2,7m fényes fehér</v>
      </c>
      <c r="F571" s="438" t="str">
        <f>+VLOOKUP(A571,cennik!A:B,2,FALSE)</f>
        <v>SEVROLL  04532 Alfa II profil 18mm 2,7m fényes fehér</v>
      </c>
      <c r="I571" s="437" t="str">
        <f>J15</f>
        <v>fehér fényes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fényes fekete</v>
      </c>
      <c r="D572" s="2">
        <v>395495</v>
      </c>
      <c r="E572" s="48" t="str">
        <f>+VLOOKUP(A572,cennik!A:G,2,FALSE)</f>
        <v>SEVROLL 05152 Alfa II profil 18mm 2,7m fényes fekete</v>
      </c>
      <c r="F572" s="48" t="str">
        <f>+VLOOKUP(A572,cennik!A:B,2,FALSE)</f>
        <v>SEVROLL 05152 Alfa II profil 18mm 2,7m fényes fekete</v>
      </c>
      <c r="G572" s="1"/>
      <c r="H572" s="1"/>
      <c r="I572" s="1" t="str">
        <f>J16</f>
        <v>fényes fekete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profil 18mm 2,7m grafit</v>
      </c>
      <c r="F573" s="48" t="str">
        <f>+VLOOKUP(A573,cennik!A:B,2,FALSE)</f>
        <v>SEVROLL 06053 Alfa II profil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matt feket</v>
      </c>
      <c r="D574" s="1">
        <v>288252</v>
      </c>
      <c r="E574" s="48" t="str">
        <f>+VLOOKUP(A574,cennik!A:G,2,FALSE)</f>
        <v>SEVROLL 05305 Alfa II profil 18mm 2,7m  matt fekete</v>
      </c>
      <c r="F574" s="48" t="str">
        <f>+VLOOKUP(A574,cennik!A:B,2,FALSE)</f>
        <v>SEVROLL 05305 Alfa II profil 18mm 2,7m  matt fekete</v>
      </c>
      <c r="I574" s="1" t="str">
        <f>J17</f>
        <v>matt feket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matt fehér</v>
      </c>
      <c r="D575" s="436">
        <v>394791</v>
      </c>
      <c r="E575" s="438" t="str">
        <f>+VLOOKUP(A575,cennik!A:G,2,FALSE)</f>
        <v>SEVROLL05153  Alfa II profil 18mm 2,7m matt fehér</v>
      </c>
      <c r="F575" s="438" t="str">
        <f>+VLOOKUP(A575,cennik!A:B,2,FALSE)</f>
        <v>SEVROLL05153  Alfa II profil 18mm 2,7m matt fehér</v>
      </c>
      <c r="G575" s="437"/>
      <c r="H575" s="437"/>
      <c r="I575" s="437" t="str">
        <f>J18</f>
        <v>matt fehér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fekete szerkezeti</v>
      </c>
      <c r="D576" s="49">
        <v>524825</v>
      </c>
      <c r="E576" s="438" t="str">
        <f>+VLOOKUP(A576,cennik!A:G,2,FALSE)</f>
        <v>SEVROLL 06438 Alfa II profil 16/18mm 2,7m fekete szerkezeti</v>
      </c>
      <c r="F576" s="438" t="str">
        <f>+VLOOKUP(A576,cennik!A:B,2,FALSE)</f>
        <v>SEVROLL 06438 Alfa II profil 16/18mm 2,7m fekete szerkezeti</v>
      </c>
      <c r="I576" s="1" t="str">
        <f>J22</f>
        <v>fekete szerkezeti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ezüst</v>
      </c>
      <c r="D577" s="49">
        <v>89010</v>
      </c>
      <c r="E577" s="48" t="str">
        <f>+VLOOKUP(A577,cennik!A:G,2,FALSE)</f>
        <v>SEVROLL 00215 összekötő profil H18 3m ezüst</v>
      </c>
      <c r="F577" s="48" t="str">
        <f>+VLOOKUP(A577,cennik!A:B,2,FALSE)</f>
        <v>SEVROLL 00215 összekötő profil H18 3m ezüst</v>
      </c>
      <c r="G577" s="1" t="e">
        <f>+VLOOKUP(A577,#REF!,4,FALSE)</f>
        <v>#REF!</v>
      </c>
      <c r="I577" s="1" t="str">
        <f>J4</f>
        <v>ezüst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összekötő profil H18 3m oliva</v>
      </c>
      <c r="F578" s="48" t="str">
        <f>+VLOOKUP(A578,cennik!A:B,2,FALSE)</f>
        <v>SEVROLL 00212 összekötő profil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arany/sárgaréz</v>
      </c>
      <c r="D579" s="49">
        <v>542588</v>
      </c>
      <c r="E579" s="48" t="str">
        <f>+VLOOKUP(A579,cennik!A:G,2,FALSE)</f>
        <v>SEVROLL 06794 összekötő profil H18 3m arany/sárgaréz</v>
      </c>
      <c r="F579" s="48" t="str">
        <f>+VLOOKUP(A579,cennik!A:B,2,FALSE)</f>
        <v>SEVROLL 06794 összekötő profil H18 3m arany/sárgaréz</v>
      </c>
      <c r="G579" s="1" t="e">
        <f>+VLOOKUP(A579,#REF!,4,FALSE)</f>
        <v>#REF!</v>
      </c>
      <c r="I579" s="1" t="str">
        <f>J5</f>
        <v>arany/sárgaréz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kefélt oliva</v>
      </c>
      <c r="D580" s="49">
        <v>191704</v>
      </c>
      <c r="E580" s="48" t="str">
        <f>+VLOOKUP(A580,cennik!A:G,2,FALSE)</f>
        <v>SEVROLL 02937-Y összekötő profil H18 3m oliva szálcsiszolt</v>
      </c>
      <c r="F580" s="48" t="str">
        <f>+VLOOKUP(A580,cennik!A:B,2,FALSE)</f>
        <v>SEVROLL 02937-Y összekötő profil H18 3m oliva szálcsiszolt</v>
      </c>
      <c r="I580" s="1" t="str">
        <f>J7</f>
        <v>kefélt oliva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szálcsi.oliva sö.</v>
      </c>
      <c r="D581" s="49">
        <v>223332</v>
      </c>
      <c r="E581" s="48" t="str">
        <f>+VLOOKUP(A581,cennik!A:G,2,FALSE)</f>
        <v>SEVROLL összekötő profil H18 3m oliva sötét szálcsiszolt</v>
      </c>
      <c r="F581" s="48" t="str">
        <f>+VLOOKUP(A581,cennik!A:B,2,FALSE)</f>
        <v>SEVROLL összekötő profil H18 3m oliva sötét szálcsiszolt</v>
      </c>
      <c r="I581" s="1" t="str">
        <f>J8</f>
        <v>szálcsi.oliva sö.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szálcsi.fekete</v>
      </c>
      <c r="D582" s="49">
        <v>223391</v>
      </c>
      <c r="E582" s="48" t="str">
        <f>+VLOOKUP(A582,cennik!A:G,2,FALSE)</f>
        <v>SEVROLL 03466 összekötő profil H18 3m fekete szálcsiszolt</v>
      </c>
      <c r="F582" s="48" t="str">
        <f>+VLOOKUP(A582,cennik!A:B,2,FALSE)</f>
        <v>SEVROLL 03466 összekötő profil H18 3m fekete szálcsiszolt</v>
      </c>
      <c r="I582" s="1" t="str">
        <f>J9</f>
        <v>szálcsi.fekete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fényes fekete</v>
      </c>
      <c r="D583" s="2">
        <v>405392</v>
      </c>
      <c r="E583" s="48" t="str">
        <f>+VLOOKUP(A583,cennik!A:G,2,FALSE)</f>
        <v>SEVROLL 05294 összekötő profil H18 3m fényes fekete</v>
      </c>
      <c r="F583" s="48" t="str">
        <f>+VLOOKUP(A583,cennik!A:B,2,FALSE)</f>
        <v>SEVROLL 05294 összekötő profil H18 3m fényes fekete</v>
      </c>
      <c r="I583" s="1" t="str">
        <f>J16</f>
        <v>fényes fekete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összekötő profil H18 3m grafit</v>
      </c>
      <c r="F584" s="48" t="str">
        <f>+VLOOKUP(A584,cennik!A:B,2,FALSE)</f>
        <v>SEVROLL 06041 összekötő profil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matt feket</v>
      </c>
      <c r="D585" s="1">
        <v>409683</v>
      </c>
      <c r="E585" s="48" t="str">
        <f>+VLOOKUP(A585,cennik!A:G,2,FALSE)</f>
        <v>SEVROLL 05304 összekötő profil H18 3m matt fekete</v>
      </c>
      <c r="F585" s="48" t="str">
        <f>+VLOOKUP(A585,cennik!A:B,2,FALSE)</f>
        <v>SEVROLL 05304 összekötő profil H18 3m matt fekete</v>
      </c>
      <c r="I585" s="1" t="str">
        <f>J17</f>
        <v>matt feket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matt fehér</v>
      </c>
      <c r="D586" s="436">
        <v>406463</v>
      </c>
      <c r="E586" s="438" t="str">
        <f>+VLOOKUP(A586,cennik!A:G,2,FALSE)</f>
        <v>SEVROLL 05293 összekötő profil H18 3m matt fehér</v>
      </c>
      <c r="F586" s="438" t="str">
        <f>+VLOOKUP(A586,cennik!A:B,2,FALSE)</f>
        <v>SEVROLL 05293 összekötő profil H18 3m matt fehér</v>
      </c>
      <c r="G586" s="437"/>
      <c r="H586" s="437"/>
      <c r="I586" s="437" t="str">
        <f>J18</f>
        <v>matt fehér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fehér fényes</v>
      </c>
      <c r="D587" s="49">
        <v>252567</v>
      </c>
      <c r="E587" s="48" t="str">
        <f>+VLOOKUP(A587,cennik!A:G,2,FALSE)</f>
        <v>SEVROLL 04051 összekötő profil H18 3m fényes fehér</v>
      </c>
      <c r="F587" s="48" t="str">
        <f>+VLOOKUP(A587,cennik!A:B,2,FALSE)</f>
        <v>SEVROLL 04051 összekötő profil H18 3m fényes fehér</v>
      </c>
      <c r="I587" s="1" t="str">
        <f>J15</f>
        <v>fehér fényes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fekete szerkezeti</v>
      </c>
      <c r="D588" s="49">
        <v>526505</v>
      </c>
      <c r="E588" s="48" t="str">
        <f>+VLOOKUP(A588,cennik!A:G,2,FALSE)</f>
        <v>SEVROLL 06437 összekötő profil H18 3m fekete szerkezeti</v>
      </c>
      <c r="F588" s="48" t="str">
        <f>+VLOOKUP(A588,cennik!A:B,2,FALSE)</f>
        <v>SEVROLL 06437 összekötő profil H18 3m fekete szerkezeti</v>
      </c>
      <c r="I588" s="1" t="str">
        <f>J22</f>
        <v>fekete szerkezeti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ezüst</v>
      </c>
      <c r="D589" s="49">
        <v>89188</v>
      </c>
      <c r="E589" s="48" t="str">
        <f>+VLOOKUP(A589,cennik!A:G,2,FALSE)</f>
        <v>SEVROLL 007060 összekötő profil "T" 3m ezüst</v>
      </c>
      <c r="F589" s="48" t="str">
        <f>+VLOOKUP(A589,cennik!A:B,2,FALSE)</f>
        <v>SEVROLL 007060 összekötő profil "T" 3m ezüst</v>
      </c>
      <c r="G589" s="1" t="e">
        <f>+VLOOKUP(A589,#REF!,4,FALSE)</f>
        <v>#REF!</v>
      </c>
      <c r="I589" s="1" t="str">
        <f>J4</f>
        <v>ezüst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 összekötő profil "T" 3m oliva</v>
      </c>
      <c r="F590" s="48" t="str">
        <f>+VLOOKUP(A590,cennik!A:B,2,FALSE)</f>
        <v>SEVROLL 00703  összekötő profil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arany/sárgaréz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arany/sárgaréz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kefélt oliva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kefélt oliva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szálcsi.oliva sö.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szálcsi.oliva sö.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szálcsi.fekete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szálcsi.fekete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matt feket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matt feket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fényes fekete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fényes fekete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matt fehér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matt fehér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fehér fényes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fehér fényes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ezüst</v>
      </c>
      <c r="D599" s="49">
        <v>89013</v>
      </c>
      <c r="E599" s="48" t="str">
        <f>+VLOOKUP(A599,cennik!A:G,2,FALSE)</f>
        <v>SEVROLL 01373összekötő profil T Decor 3m ezüst</v>
      </c>
      <c r="F599" s="48" t="str">
        <f>+VLOOKUP(A599,cennik!A:B,2,FALSE)</f>
        <v>SEVROLL 01373összekötő profil T Decor 3m ezüst</v>
      </c>
      <c r="G599" s="1" t="e">
        <f>+VLOOKUP(A599,#REF!,4,FALSE)</f>
        <v>#REF!</v>
      </c>
      <c r="I599" s="1" t="str">
        <f>J4</f>
        <v>ezüst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összekötő profil T Decor 3m oliva</v>
      </c>
      <c r="F600" s="48" t="str">
        <f>+VLOOKUP(A600,cennik!A:B,2,FALSE)</f>
        <v>SEVROLL 01370 összekötő profil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arany/sárgaréz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arany/sárgaréz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kefélt oliva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kefélt oliva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matt feket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matt feket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fényes fekete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fényes fekete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szálcsi.oliva sö.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szálcsi.oliva sö.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matt fehér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matt fehér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szálcsi.fekete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szálcsi.fekete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fehér fényes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fehér fényes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ezüst</v>
      </c>
      <c r="D609" s="49">
        <v>89269</v>
      </c>
      <c r="E609" s="48" t="str">
        <f>+VLOOKUP(A609,cennik!A:G,2,FALSE)</f>
        <v>SEVROLL 00031  "U" profil rétegelt lemezhez 18mm 3m ezüst</v>
      </c>
      <c r="F609" s="48" t="str">
        <f>+VLOOKUP(A609,cennik!A:B,2,FALSE)</f>
        <v>SEVROLL 00031  "U" profil rétegelt lemezhez 18mm 3m ezüst</v>
      </c>
      <c r="G609" s="1" t="e">
        <f>+VLOOKUP(A609,#REF!,4,FALSE)</f>
        <v>#REF!</v>
      </c>
      <c r="I609" s="1" t="str">
        <f>J4</f>
        <v>ezüst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"U" profil rétegelt lemezhez 18mm 3m oliva</v>
      </c>
      <c r="F610" s="48" t="str">
        <f>+VLOOKUP(A610,cennik!A:B,2,FALSE)</f>
        <v>SEVROLL 00029 "U" profil rétegelt lemezhez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arany/sárgaréz</v>
      </c>
      <c r="D611" s="49">
        <v>542871</v>
      </c>
      <c r="E611" s="48" t="str">
        <f>+VLOOKUP(A611,cennik!A:G,2,FALSE)</f>
        <v>SEVROLL 06789 "U" profil rétegelt lemezhez 18mm 3m arany/sárgaréz</v>
      </c>
      <c r="F611" s="48" t="str">
        <f>+VLOOKUP(A611,cennik!A:B,2,FALSE)</f>
        <v>SEVROLL 06789 "U" profil rétegelt lemezhez 18mm 3m arany/sárgaréz</v>
      </c>
      <c r="G611" s="1" t="e">
        <f>+VLOOKUP(A611,#REF!,4,FALSE)</f>
        <v>#REF!</v>
      </c>
      <c r="I611" s="1" t="str">
        <f>J5</f>
        <v>arany/sárgaréz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kefélt oliva</v>
      </c>
      <c r="D612" s="49">
        <v>223341</v>
      </c>
      <c r="E612" s="48" t="str">
        <f>+VLOOKUP(A612,cennik!A:G,2,FALSE)</f>
        <v>SEVROLL profil "U" 18mm 3m oliva szálcsiszolt</v>
      </c>
      <c r="F612" s="48" t="str">
        <f>+VLOOKUP(A612,cennik!A:B,2,FALSE)</f>
        <v>SEVROLL profil "U" 18mm 3m oliva szálcsiszolt</v>
      </c>
      <c r="G612" s="1" t="e">
        <f>+VLOOKUP(A612,#REF!,4,FALSE)</f>
        <v>#REF!</v>
      </c>
      <c r="I612" s="1" t="str">
        <f>J7</f>
        <v>kefélt oliva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szálcsi.oliva sö.</v>
      </c>
      <c r="D613" s="49">
        <v>223342</v>
      </c>
      <c r="E613" s="48" t="str">
        <f>+VLOOKUP(A613,cennik!A:G,2,FALSE)</f>
        <v>SEVROLL profil "U" 18mm 3m oliva sötét szálcsiszolt</v>
      </c>
      <c r="F613" s="48" t="str">
        <f>+VLOOKUP(A613,cennik!A:B,2,FALSE)</f>
        <v>SEVROLL profil "U" 18mm 3m oliva sötét szálcsiszolt</v>
      </c>
      <c r="I613" s="1" t="str">
        <f>J8</f>
        <v>szálcsi.oliva sö.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szálcsi.fekete</v>
      </c>
      <c r="D614" s="49">
        <v>223343</v>
      </c>
      <c r="E614" s="48" t="str">
        <f>+VLOOKUP(A614,cennik!A:G,2,FALSE)</f>
        <v>SEVROLL profil "U" 18mm 3m fekete szálcsiszolt</v>
      </c>
      <c r="F614" s="48" t="str">
        <f>+VLOOKUP(A614,cennik!A:B,2,FALSE)</f>
        <v>SEVROLL profil "U" 18mm 3m fekete szálcsiszolt</v>
      </c>
      <c r="I614" s="1" t="str">
        <f>J9</f>
        <v>szálcsi.fekete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fényes fekete</v>
      </c>
      <c r="D615" s="2">
        <v>405364</v>
      </c>
      <c r="E615" s="48" t="str">
        <f>+VLOOKUP(A615,cennik!A:G,2,FALSE)</f>
        <v>SEVROLL "U" profil rétegelt lemezhez 18mm 3m fényes fekete</v>
      </c>
      <c r="F615" s="48" t="str">
        <f>+VLOOKUP(A615,cennik!A:B,2,FALSE)</f>
        <v>SEVROLL "U" profil rétegelt lemezhez 18mm 3m fényes fekete</v>
      </c>
      <c r="I615" s="1" t="str">
        <f>J16</f>
        <v>fényes fekete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 rétegelt lemezhez 18mm 3m grafit</v>
      </c>
      <c r="F616" s="48" t="str">
        <f>+VLOOKUP(A616,cennik!A:B,2,FALSE)</f>
        <v>SEVROLL 06033 "U" profil rétegelt lemezhez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matt feket</v>
      </c>
      <c r="D617" s="2">
        <v>422013</v>
      </c>
      <c r="E617" s="48" t="str">
        <f>+VLOOKUP(A617,cennik!A:G,2,FALSE)</f>
        <v>SEVROLL "U" profil rétegelt lemezhez 18mm 3m matt fekete</v>
      </c>
      <c r="F617" s="48" t="str">
        <f>+VLOOKUP(A617,cennik!A:B,2,FALSE)</f>
        <v>SEVROLL "U" profil rétegelt lemezhez 18mm 3m matt fekete</v>
      </c>
      <c r="I617" s="1" t="str">
        <f>J16</f>
        <v>fényes fekete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matt fehér</v>
      </c>
      <c r="D618" s="436">
        <v>406464</v>
      </c>
      <c r="E618" s="438" t="str">
        <f>+VLOOKUP(A618,cennik!A:G,2,FALSE)</f>
        <v>SEVROLL "U" profil RL-hez 18mm 3m matt fehér</v>
      </c>
      <c r="F618" s="438" t="str">
        <f>+VLOOKUP(A618,cennik!A:B,2,FALSE)</f>
        <v>SEVROLL "U" profil RL-hez 18mm 3m matt fehér</v>
      </c>
      <c r="G618" s="437"/>
      <c r="H618" s="437"/>
      <c r="I618" s="437" t="str">
        <f>J18</f>
        <v>matt fehér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fehér fényes</v>
      </c>
      <c r="D619" s="49">
        <v>360760</v>
      </c>
      <c r="E619" s="48" t="str">
        <f>+VLOOKUP(A619,cennik!A:G,2,FALSE)</f>
        <v>SEVROLL "U" profil rétegelt lemezhez 18mm 3m fényes fehér</v>
      </c>
      <c r="F619" s="48" t="str">
        <f>+VLOOKUP(A619,cennik!A:B,2,FALSE)</f>
        <v>SEVROLL "U" profil rétegelt lemezhez 18mm 3m fényes fehér</v>
      </c>
      <c r="I619" s="1" t="str">
        <f>J15</f>
        <v>fehér fényes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ezüst</v>
      </c>
      <c r="D620" s="49">
        <v>89016</v>
      </c>
      <c r="E620" s="48" t="str">
        <f>+VLOOKUP(A620,cennik!A:G,2,FALSE)</f>
        <v>SEVROLL  00036 profil "U" Decor 18mm 3m ezüst</v>
      </c>
      <c r="F620" s="48" t="str">
        <f>+VLOOKUP(A620,cennik!A:B,2,FALSE)</f>
        <v>SEVROLL  00036 profil "U" Decor 18mm 3m ezüst</v>
      </c>
      <c r="G620" s="1" t="e">
        <f>+VLOOKUP(A620,#REF!,4,FALSE)</f>
        <v>#REF!</v>
      </c>
      <c r="I620" s="1" t="str">
        <f>J4</f>
        <v>ezüst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profil "U" Decor 18mm 3m oliva</v>
      </c>
      <c r="F621" s="48" t="str">
        <f>+VLOOKUP(A621,cennik!A:B,2,FALSE)</f>
        <v>SEVROLL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kefélt oliva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kefélt oliva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szálcsi.oliva sö.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szálcsi.oliva sö.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szálcsi.fekete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szálcsi.fekete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matt feket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matt feket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fényes fekete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fényes fekete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arany/sárgaréz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arany/sárgaréz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matt fehér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matt fehér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fehér fényes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fehér fényes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arany/sárgaréz</v>
      </c>
      <c r="D630" s="439">
        <v>542706</v>
      </c>
      <c r="E630" s="438" t="str">
        <f>+VLOOKUP(A630,cennik!A:G,2,FALSE)</f>
        <v>SEVROLL 06790 szögletvas 17x11mm 1,7m arany/sárgaréz</v>
      </c>
      <c r="F630" s="438" t="str">
        <f>+VLOOKUP(A630,cennik!A:B,2,FALSE)</f>
        <v>SEVROLL 06790 szögletvas 17x11mm 1,7m arany/sárgaréz</v>
      </c>
      <c r="G630" s="437" t="e">
        <f>+VLOOKUP(A630,#REF!,4,FALSE)</f>
        <v>#REF!</v>
      </c>
      <c r="I630" s="437" t="str">
        <f>J5</f>
        <v>arany/sárgaréz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00093 szögletvas Mini 17x11mm 1,7m oliva</v>
      </c>
      <c r="F631" s="438" t="str">
        <f>+VLOOKUP(A631,cennik!A:B,2,FALSE)</f>
        <v>SEVROLL 00093 szögletvas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ezüst</v>
      </c>
      <c r="D632" s="439">
        <v>89134</v>
      </c>
      <c r="E632" s="438" t="str">
        <f>+VLOOKUP(A632,cennik!A:G,2,FALSE)</f>
        <v>SEVROLL 00102 szögletvas Mini 17x11mm 1,7m ezüst</v>
      </c>
      <c r="F632" s="438" t="str">
        <f>+VLOOKUP(A632,cennik!A:B,2,FALSE)</f>
        <v>SEVROLL 00102 szögletvas Mini 17x11mm 1,7m ezüst</v>
      </c>
      <c r="G632" s="437" t="e">
        <f>+VLOOKUP(A632,#REF!,4,FALSE)</f>
        <v>#REF!</v>
      </c>
      <c r="I632" s="437" t="str">
        <f>J4</f>
        <v>ezüst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kefélt oliva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kefélt oliva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szálcsi.oliva sö.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szálcsi.oliva sö.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fényes fekete</v>
      </c>
      <c r="D635" s="2">
        <v>405365</v>
      </c>
      <c r="E635" s="48" t="str">
        <f>+VLOOKUP(A635,cennik!A:G,2,FALSE)</f>
        <v>SEVROLL 05138 szögletvas Mini 17x11mm 1,7m fényes fekete</v>
      </c>
      <c r="F635" s="48" t="str">
        <f>+VLOOKUP(A635,cennik!A:B,2,FALSE)</f>
        <v>SEVROLL 05138 szögletvas Mini 17x11mm 1,7m fényes fekete</v>
      </c>
      <c r="G635" s="1"/>
      <c r="H635" s="1"/>
      <c r="I635" s="1" t="str">
        <f>J16</f>
        <v>fényes fekete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szögletvas Mini 17x11mm 1,7m grafit</v>
      </c>
      <c r="F636" s="48" t="str">
        <f>+VLOOKUP(A636,cennik!A:B,2,FALSE)</f>
        <v>SEVROLL 06034 szögletvas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matt feket</v>
      </c>
      <c r="D637" s="1">
        <v>422014</v>
      </c>
      <c r="E637" s="48" t="str">
        <f>+VLOOKUP(A637,cennik!A:G,2,FALSE)</f>
        <v>SEVROLL 05296 szögletvas Mini 17x11mm 1,7m matt fekete</v>
      </c>
      <c r="F637" s="48" t="str">
        <f>+VLOOKUP(A637,cennik!A:B,2,FALSE)</f>
        <v>SEVROLL 05296 szögletvas Mini 17x11mm 1,7m matt fekete</v>
      </c>
      <c r="G637" s="1"/>
      <c r="H637" s="1"/>
      <c r="I637" s="1" t="str">
        <f>J17</f>
        <v>matt feket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szálcsi.fekete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szálcsi.fekete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matt fehér</v>
      </c>
      <c r="D639" s="436">
        <v>394825</v>
      </c>
      <c r="E639" s="438" t="str">
        <f>+VLOOKUP(A639,cennik!A:G,2,FALSE)</f>
        <v>SEVROLL 05136 szögletvas Mini 17x11mm 1,7m matt fehér</v>
      </c>
      <c r="F639" s="438" t="str">
        <f>+VLOOKUP(A639,cennik!A:B,2,FALSE)</f>
        <v>SEVROLL 05136 szögletvas Mini 17x11mm 1,7m matt fehér</v>
      </c>
      <c r="I639" s="437" t="str">
        <f>J18</f>
        <v>matt fehér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fehér fényes</v>
      </c>
      <c r="D640" s="439">
        <v>276735</v>
      </c>
      <c r="E640" s="438" t="str">
        <f>+VLOOKUP(A640,cennik!A:G,2,FALSE)</f>
        <v>SEVROLL 04053 szögletvas Mini 17x11mm 1,7m fényes fehér</v>
      </c>
      <c r="F640" s="438" t="str">
        <f>+VLOOKUP(A640,cennik!A:B,2,FALSE)</f>
        <v>SEVROLL 04053 szögletvas Mini 17x11mm 1,7m fényes fehér</v>
      </c>
      <c r="G640" s="437" t="e">
        <f>+VLOOKUP(A640,#REF!,4,FALSE)</f>
        <v>#REF!</v>
      </c>
      <c r="I640" s="437" t="str">
        <f>J15</f>
        <v>fehér fényes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fekete szerkezeti</v>
      </c>
      <c r="D641" s="439">
        <v>526502</v>
      </c>
      <c r="E641" s="438" t="str">
        <f>+VLOOKUP(A641,cennik!A:G,2,FALSE)</f>
        <v>SEVROLL 06434 szögletvas Mini 17x11mm 1,7m fekete szerkezeti</v>
      </c>
      <c r="F641" s="438" t="str">
        <f>+VLOOKUP(A641,cennik!A:B,2,FALSE)</f>
        <v>SEVROLL 06434 szögletvas Mini 17x11mm 1,7m fekete szerkezeti</v>
      </c>
      <c r="I641" s="437" t="str">
        <f>J22</f>
        <v>fekete szerkezeti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arany/sárgaréz</v>
      </c>
      <c r="D642" s="439">
        <v>542764</v>
      </c>
      <c r="E642" s="438" t="str">
        <f>+VLOOKUP(A642,cennik!A:G,2,FALSE)</f>
        <v>SEVROLL 06791 szögletvas Mini 17x11mm 2,35m arany/sárgaréz</v>
      </c>
      <c r="F642" s="438" t="str">
        <f>+VLOOKUP(A642,cennik!A:B,2,FALSE)</f>
        <v>SEVROLL 06791 szögletvas Mini 17x11mm 2,35m arany/sárgaréz</v>
      </c>
      <c r="G642" s="437" t="e">
        <f>+VLOOKUP(A642,#REF!,4,FALSE)</f>
        <v>#REF!</v>
      </c>
      <c r="I642" s="437" t="str">
        <f>J5</f>
        <v>arany/sárgaréz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 00094 szögletvas Mini 17x11mm 2,35m oliva</v>
      </c>
      <c r="F643" s="438" t="str">
        <f>+VLOOKUP(A643,cennik!A:B,2,FALSE)</f>
        <v>SEVROLL  00094 szögletvas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kefélt oliva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kefélt oliva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szálcsi.oliva sö.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szálcsi.oliva sö.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fényes fekete</v>
      </c>
      <c r="D646" s="2">
        <v>405366</v>
      </c>
      <c r="E646" s="438" t="str">
        <f>+VLOOKUP(A646,cennik!A:G,2,FALSE)</f>
        <v>SEVROLL 05139 szögletvas Mini 17x11mm 2,35m fényes fekete</v>
      </c>
      <c r="F646" s="438" t="str">
        <f>+VLOOKUP(A646,cennik!A:B,2,FALSE)</f>
        <v>SEVROLL 05139 szögletvas Mini 17x11mm 2,35m fényes fekete</v>
      </c>
      <c r="G646" s="1"/>
      <c r="H646" s="1"/>
      <c r="I646" s="437" t="str">
        <f>J16</f>
        <v>fényes fekete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szögletvas Mini 17x11mm 2,35m grafit</v>
      </c>
      <c r="F647" s="438" t="str">
        <f>+VLOOKUP(A647,cennik!A:B,2,FALSE)</f>
        <v>SEVROLL 06035 szögletvas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matt feket</v>
      </c>
      <c r="D648" s="1">
        <v>409682</v>
      </c>
      <c r="E648" s="438" t="str">
        <f>+VLOOKUP(A648,cennik!A:G,2,FALSE)</f>
        <v>SEVROLL 05297 szögletvas Mini 17x11mm 2,35m matt fekete</v>
      </c>
      <c r="F648" s="438" t="str">
        <f>+VLOOKUP(A648,cennik!A:B,2,FALSE)</f>
        <v>SEVROLL 05297 szögletvas Mini 17x11mm 2,35m matt fekete</v>
      </c>
      <c r="G648" s="1"/>
      <c r="H648" s="1"/>
      <c r="I648" s="437" t="str">
        <f>J17</f>
        <v>matt feket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szálcsi.fekete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szálcsi.fekete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ezüst</v>
      </c>
      <c r="D650" s="439">
        <v>89137</v>
      </c>
      <c r="E650" s="438" t="str">
        <f>+VLOOKUP(A650,cennik!A:G,2,FALSE)</f>
        <v>SEVROLL 00103 szögletvas Mini 17x11mm 2,35m ezüst</v>
      </c>
      <c r="F650" s="438" t="str">
        <f>+VLOOKUP(A650,cennik!A:B,2,FALSE)</f>
        <v>SEVROLL 00103 szögletvas Mini 17x11mm 2,35m ezüst</v>
      </c>
      <c r="G650" s="437" t="e">
        <f>+VLOOKUP(A650,#REF!,4,FALSE)</f>
        <v>#REF!</v>
      </c>
      <c r="H650" s="437"/>
      <c r="I650" s="437" t="str">
        <f>J4</f>
        <v>ezüst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matt fehér</v>
      </c>
      <c r="D651" s="436">
        <v>394826</v>
      </c>
      <c r="E651" s="438" t="str">
        <f>+VLOOKUP(A651,cennik!A:G,2,FALSE)</f>
        <v>SEVROLL05137 szögletvas Mini 17x11mm 2,35m matt fehér</v>
      </c>
      <c r="F651" s="438" t="str">
        <f>+VLOOKUP(A651,cennik!A:B,2,FALSE)</f>
        <v>SEVROLL05137 szögletvas Mini 17x11mm 2,35m matt fehér</v>
      </c>
      <c r="G651" s="437"/>
      <c r="H651" s="437"/>
      <c r="I651" s="437" t="str">
        <f>J18</f>
        <v>matt fehér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fehér fényes</v>
      </c>
      <c r="D652" s="439">
        <v>276732</v>
      </c>
      <c r="E652" s="438" t="str">
        <f>+VLOOKUP(A652,cennik!A:G,2,FALSE)</f>
        <v>SEVROLL 04054 szögletvas Mini 17x11mm 2,35m fényes fehér</v>
      </c>
      <c r="F652" s="438" t="str">
        <f>+VLOOKUP(A652,cennik!A:B,2,FALSE)</f>
        <v>SEVROLL 04054 szögletvas Mini 17x11mm 2,35m fényes fehér</v>
      </c>
      <c r="G652" s="437" t="e">
        <f>+VLOOKUP(A652,#REF!,4,FALSE)</f>
        <v>#REF!</v>
      </c>
      <c r="H652" s="437"/>
      <c r="I652" s="437" t="str">
        <f>J15</f>
        <v>fehér fényes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fekete szerkezeti</v>
      </c>
      <c r="D653" s="439">
        <v>526503</v>
      </c>
      <c r="E653" s="438" t="str">
        <f>+VLOOKUP(A653,cennik!A:G,2,FALSE)</f>
        <v>SEVROLL 06435 szögletvas 17x11mm 2,35m fekete szerkezeti</v>
      </c>
      <c r="F653" s="438" t="str">
        <f>+VLOOKUP(A653,cennik!A:B,2,FALSE)</f>
        <v>SEVROLL 06435 szögletvas 17x11mm 2,35m fekete szerkezeti</v>
      </c>
      <c r="G653" s="437"/>
      <c r="H653" s="437"/>
      <c r="I653" s="437" t="str">
        <f>J22</f>
        <v>fekete szerkezeti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arany/sárgaréz</v>
      </c>
      <c r="D654" s="49">
        <v>542863</v>
      </c>
      <c r="E654" s="48" t="str">
        <f>+VLOOKUP(A654,cennik!A:G,2,FALSE)</f>
        <v>SEVROLL 06792 szögletvas 17x11mm 3m arany/sárgaréz</v>
      </c>
      <c r="F654" s="48" t="str">
        <f>+VLOOKUP(A654,cennik!A:B,2,FALSE)</f>
        <v>SEVROLL 06792 szögletvas 17x11mm 3m arany/sárgaréz</v>
      </c>
      <c r="G654" s="1" t="e">
        <f>+VLOOKUP(A654,#REF!,4,FALSE)</f>
        <v>#REF!</v>
      </c>
      <c r="I654" s="1" t="str">
        <f>J5</f>
        <v>arany/sárgaréz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kefélt oliva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kefélt oliva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szálcsi.oliva sö.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szálcsi.oliva sö.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fényes fekete</v>
      </c>
      <c r="D657" s="2">
        <v>405367</v>
      </c>
      <c r="E657" s="48" t="str">
        <f>+VLOOKUP(A657,cennik!A:G,2,FALSE)</f>
        <v>SEVROLL05140 szögletvas Mini 17x11mm 3m fényes fekete</v>
      </c>
      <c r="F657" s="48" t="str">
        <f>+VLOOKUP(A657,cennik!A:B,2,FALSE)</f>
        <v>SEVROLL05140 szögletvas Mini 17x11mm 3m fényes fekete</v>
      </c>
      <c r="I657" s="1" t="str">
        <f>J16</f>
        <v>fényes fekete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szögletvas Mini 17x11mm 3m grafit</v>
      </c>
      <c r="F658" s="48" t="str">
        <f>+VLOOKUP(A658,cennik!A:B,2,FALSE)</f>
        <v>SEVROLL 06036 szögletvas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matt feket</v>
      </c>
      <c r="D659" s="1">
        <v>412226</v>
      </c>
      <c r="E659" s="48" t="str">
        <f>+VLOOKUP(A659,cennik!A:G,2,FALSE)</f>
        <v>SEVROLL 05298 szögletvas Mini 17x11mm 3m matt fekete</v>
      </c>
      <c r="F659" s="48" t="str">
        <f>+VLOOKUP(A659,cennik!A:B,2,FALSE)</f>
        <v>SEVROLL 05298 szögletvas Mini 17x11mm 3m matt fekete</v>
      </c>
      <c r="I659" s="1" t="str">
        <f>J17</f>
        <v>matt feket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szálcsi.fekete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szálcsi.fekete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szögletvas Mini 17x11mm 3m oliva</v>
      </c>
      <c r="F661" s="48" t="str">
        <f>+VLOOKUP(A661,cennik!A:B,2,FALSE)</f>
        <v>SEVROLL 00095 szögletvas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ezüst</v>
      </c>
      <c r="D662" s="49">
        <v>89140</v>
      </c>
      <c r="E662" s="48" t="str">
        <f>+VLOOKUP(A662,cennik!A:G,2,FALSE)</f>
        <v>SEVROLL 00104 szögletvas Mini 17x11mm 3m ezüst</v>
      </c>
      <c r="F662" s="48" t="str">
        <f>+VLOOKUP(A662,cennik!A:B,2,FALSE)</f>
        <v>SEVROLL 00104 szögletvas Mini 17x11mm 3m ezüst</v>
      </c>
      <c r="G662" s="1" t="e">
        <f>+VLOOKUP(A662,#REF!,4,FALSE)</f>
        <v>#REF!</v>
      </c>
      <c r="I662" s="1" t="str">
        <f>J4</f>
        <v>ezüst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matt fehér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matt fehér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fehér fényes</v>
      </c>
      <c r="D664" s="49">
        <v>267880</v>
      </c>
      <c r="E664" s="48" t="str">
        <f>+VLOOKUP(A664,cennik!A:G,2,FALSE)</f>
        <v>SEVROLL 04055 szögletvas Mini 17x11mm 3m fényes fehér</v>
      </c>
      <c r="F664" s="48" t="str">
        <f>+VLOOKUP(A664,cennik!A:B,2,FALSE)</f>
        <v>SEVROLL 04055 szögletvas Mini 17x11mm 3m fényes fehér</v>
      </c>
      <c r="G664" s="1" t="e">
        <f>+VLOOKUP(A664,#REF!,4,FALSE)</f>
        <v>#REF!</v>
      </c>
      <c r="H664" s="1"/>
      <c r="I664" s="1" t="str">
        <f>J15</f>
        <v>fehér fényes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fekete szerkezeti</v>
      </c>
      <c r="D665" s="196">
        <v>526504</v>
      </c>
      <c r="E665" s="48" t="str">
        <f>+VLOOKUP(A665,cennik!A:G,2,FALSE)</f>
        <v>SEVROLL 06436 szögletvas Mini 17x11mm 3m fekete szerkezeti</v>
      </c>
      <c r="F665" s="48" t="str">
        <f>+VLOOKUP(A665,cennik!A:B,2,FALSE)</f>
        <v>SEVROLL 06436 szögletvas Mini 17x11mm 3m fekete szerkezeti</v>
      </c>
      <c r="G665" s="1"/>
      <c r="H665" s="1"/>
      <c r="I665" s="1" t="str">
        <f>J22</f>
        <v>fekete szerkezeti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arany/sárgaréz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arany/sárgaréz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szögletvas K2 Decor 1,7m oliva</v>
      </c>
      <c r="F667" s="438" t="str">
        <f>+VLOOKUP(A667,cennik!A:B,2,FALSE)</f>
        <v>SEVROLL szögletvas K2 Decor 1,7m oliva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ezüst</v>
      </c>
      <c r="D668" s="439">
        <v>89050</v>
      </c>
      <c r="E668" s="438" t="str">
        <f>+VLOOKUP(A668,cennik!A:G,2,FALSE)</f>
        <v>SEVROLL 00078 szögletvas K2 Decor 1,7m ezüst</v>
      </c>
      <c r="F668" s="438" t="str">
        <f>+VLOOKUP(A668,cennik!A:B,2,FALSE)</f>
        <v>SEVROLL 00078 szögletvas K2 Decor 1,7m ezüst</v>
      </c>
      <c r="G668" s="437" t="e">
        <f>+VLOOKUP(A668,#REF!,4,FALSE)</f>
        <v>#REF!</v>
      </c>
      <c r="I668" s="437" t="str">
        <f>J4</f>
        <v>ezüst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fényes fekete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fényes fekete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matt feket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matt feket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fehér fényes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fehér fényes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kefélt oliva</v>
      </c>
      <c r="D672" s="439">
        <v>191700</v>
      </c>
      <c r="E672" s="438" t="str">
        <f>+VLOOKUP(A672,cennik!A:G,2,FALSE)</f>
        <v>SEVROLL 02934-Y  szögletvas K2 Decor 1,7m oliva szálcsiszolt</v>
      </c>
      <c r="F672" s="438" t="str">
        <f>+VLOOKUP(A672,cennik!A:B,2,FALSE)</f>
        <v>SEVROLL 02934-Y  szögletvas K2 Decor 1,7m oliva szálcsiszolt</v>
      </c>
      <c r="G672" s="437"/>
      <c r="H672" s="437"/>
      <c r="I672" s="437" t="str">
        <f>J7</f>
        <v>kefélt oliva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szálcsi.oliva sö.</v>
      </c>
      <c r="D673" s="439">
        <v>223326</v>
      </c>
      <c r="E673" s="438" t="str">
        <f>+VLOOKUP(A673,cennik!A:G,2,FALSE)</f>
        <v>SEVROLL szögletvas K2 1,7m oliva sötét szálcsiszolt</v>
      </c>
      <c r="F673" s="438" t="str">
        <f>+VLOOKUP(A673,cennik!A:B,2,FALSE)</f>
        <v>SEVROLL szögletvas K2 1,7m oliva sötét szálcsiszolt</v>
      </c>
      <c r="I673" s="437" t="str">
        <f>J8</f>
        <v>szálcsi.oliva sö.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matt fehér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matt fehér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szálcsi.fekete</v>
      </c>
      <c r="D675" s="439">
        <v>223392</v>
      </c>
      <c r="E675" s="438" t="str">
        <f>+VLOOKUP(A675,cennik!A:G,2,FALSE)</f>
        <v>SEVROLL szögletvas K2 1,7m fekete szálcsiszolt</v>
      </c>
      <c r="F675" s="438" t="str">
        <f>+VLOOKUP(A675,cennik!A:B,2,FALSE)</f>
        <v>SEVROLL szögletvas K2 1,7m fekete szálcsiszolt</v>
      </c>
      <c r="G675" s="437"/>
      <c r="H675" s="437"/>
      <c r="I675" s="437" t="str">
        <f>J9</f>
        <v>szálcsi.fekete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arany/sárgaréz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arany/sárgaréz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 00070 szögletvas K2 Decor 2,35m oliva</v>
      </c>
      <c r="F677" s="48" t="str">
        <f>+VLOOKUP(A677,cennik!A:B,2,FALSE)</f>
        <v>SEVROLL  00070 szögletvas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ezüst</v>
      </c>
      <c r="D678" s="49">
        <v>89053</v>
      </c>
      <c r="E678" s="48" t="str">
        <f>+VLOOKUP(A678,cennik!A:G,2,FALSE)</f>
        <v>SEVROLL 00079 szögletvas K2 Decor 2,35m ezüst</v>
      </c>
      <c r="F678" s="48" t="str">
        <f>+VLOOKUP(A678,cennik!A:B,2,FALSE)</f>
        <v>SEVROLL 00079 szögletvas K2 Decor 2,35m ezüst</v>
      </c>
      <c r="G678" s="1" t="e">
        <f>+VLOOKUP(A678,#REF!,4,FALSE)</f>
        <v>#REF!</v>
      </c>
      <c r="I678" s="1" t="str">
        <f>J4</f>
        <v>ezüst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fényes fekete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fényes fekete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matt feket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matt feket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kefélt oliva</v>
      </c>
      <c r="D681" s="49">
        <v>191701</v>
      </c>
      <c r="E681" s="48" t="str">
        <f>+VLOOKUP(A681,cennik!A:G,2,FALSE)</f>
        <v>SEVROLL 02935-Y szögletvas K2 Decor 2,35m oliva szálcsiszolt</v>
      </c>
      <c r="F681" s="48" t="str">
        <f>+VLOOKUP(A681,cennik!A:B,2,FALSE)</f>
        <v>SEVROLL 02935-Y szögletvas K2 Decor 2,35m oliva szálcsiszolt</v>
      </c>
      <c r="I681" s="1" t="str">
        <f>J7</f>
        <v>kefélt oliva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szálcsi.oliva sö.</v>
      </c>
      <c r="D682" s="49">
        <v>223330</v>
      </c>
      <c r="E682" s="48" t="str">
        <f>+VLOOKUP(A682,cennik!A:G,2,FALSE)</f>
        <v>SEVROLL szögletvas K2 2,35m oliva sötét szálcsiszolt</v>
      </c>
      <c r="F682" s="48" t="str">
        <f>+VLOOKUP(A682,cennik!A:B,2,FALSE)</f>
        <v>SEVROLL szögletvas K2 2,35m oliva sötét szálcsiszolt</v>
      </c>
      <c r="I682" s="1" t="str">
        <f>J8</f>
        <v>szálcsi.oliva sö.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matt fehér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matt fehér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szálcsi.fekete</v>
      </c>
      <c r="D684" s="49">
        <v>223393</v>
      </c>
      <c r="E684" s="48" t="str">
        <f>+VLOOKUP(A684,cennik!A:G,2,FALSE)</f>
        <v>SEVROLL szögletvas K2 2,35m fekete szálcsiszolt</v>
      </c>
      <c r="F684" s="48" t="str">
        <f>+VLOOKUP(A684,cennik!A:B,2,FALSE)</f>
        <v>SEVROLL szögletvas K2 2,35m fekete szálcsiszolt</v>
      </c>
      <c r="I684" s="1" t="str">
        <f>J9</f>
        <v>szálcsi.fekete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fehér fényes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fehér fényes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arany/sárgaréz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arany/sárgaréz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 00071 szögletvas K2 Decor 3m oliva</v>
      </c>
      <c r="F687" s="48" t="str">
        <f>+VLOOKUP(A687,cennik!A:B,2,FALSE)</f>
        <v>SEVROLL  00071 szögletvas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fényes fekete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fényes fekete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matt feket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matt feket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ezüst</v>
      </c>
      <c r="D690" s="49">
        <v>89056</v>
      </c>
      <c r="E690" s="48" t="str">
        <f>+VLOOKUP(A690,cennik!A:G,2,FALSE)</f>
        <v>SEVROLL 00080 szögletvas K2 Decor 3m ezüst</v>
      </c>
      <c r="F690" s="48" t="str">
        <f>+VLOOKUP(A690,cennik!A:B,2,FALSE)</f>
        <v>SEVROLL 00080 szögletvas K2 Decor 3m ezüst</v>
      </c>
      <c r="G690" s="1" t="e">
        <f>+VLOOKUP(A690,#REF!,4,FALSE)</f>
        <v>#REF!</v>
      </c>
      <c r="I690" s="1" t="str">
        <f>J4</f>
        <v>ezüst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kefélt oliva</v>
      </c>
      <c r="D691" s="49">
        <v>191702</v>
      </c>
      <c r="E691" s="48" t="str">
        <f>+VLOOKUP(A691,cennik!A:G,2,FALSE)</f>
        <v>SEVROLL 02936-Y  szögletvas K2 Decor 3m oliva szálcsiszolt</v>
      </c>
      <c r="F691" s="48" t="str">
        <f>+VLOOKUP(A691,cennik!A:B,2,FALSE)</f>
        <v>SEVROLL 02936-Y  szögletvas K2 Decor 3m oliva szálcsiszolt</v>
      </c>
      <c r="I691" s="1" t="str">
        <f>J7</f>
        <v>kefélt oliva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szálcsi.oliva sö.</v>
      </c>
      <c r="D692" s="49">
        <v>223331</v>
      </c>
      <c r="E692" s="48" t="str">
        <f>+VLOOKUP(A692,cennik!A:G,2,FALSE)</f>
        <v>SEVROLL szögletvas K2 3m oliva sötét szálcsiszolt</v>
      </c>
      <c r="F692" s="48" t="str">
        <f>+VLOOKUP(A692,cennik!A:B,2,FALSE)</f>
        <v>SEVROLL szögletvas K2 3m oliva sötét szálcsiszolt</v>
      </c>
      <c r="I692" s="1" t="str">
        <f>J8</f>
        <v>szálcsi.oliva sö.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matt fehér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matt fehér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szálcsi.fekete</v>
      </c>
      <c r="D694" s="49">
        <v>223394</v>
      </c>
      <c r="E694" s="48" t="str">
        <f>+VLOOKUP(A694,cennik!A:G,2,FALSE)</f>
        <v>SEVROLL 03464 szögletvas K2 3m fekete szálcsiszolt</v>
      </c>
      <c r="F694" s="48" t="str">
        <f>+VLOOKUP(A694,cennik!A:B,2,FALSE)</f>
        <v>SEVROLL 03464 szögletvas K2 3m fekete szálcsiszolt</v>
      </c>
      <c r="I694" s="1" t="str">
        <f>J9</f>
        <v>szálcsi.fekete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fehér fényes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fehér fényes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fogantyú profil 18mm 2,7m oliva</v>
      </c>
      <c r="F696" s="48" t="str">
        <f>+VLOOKUP(A696,cennik!A:B,2,FALSE)</f>
        <v>SEVROLL 04542 Victoria II fogantyú profil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ezüst</v>
      </c>
      <c r="D697" s="49">
        <v>135532</v>
      </c>
      <c r="E697" s="48" t="str">
        <f>+VLOOKUP(A697,cennik!A:G,2,FALSE)</f>
        <v>SEVROLL 05544 Victoria II fogantyú profil 18mm 2,7m ezüst</v>
      </c>
      <c r="F697" s="48" t="str">
        <f>+VLOOKUP(A697,cennik!A:B,2,FALSE)</f>
        <v>SEVROLL 05544 Victoria II fogantyú profil 18mm 2,7m ezüst</v>
      </c>
      <c r="G697" s="1" t="e">
        <f>+VLOOKUP(A697,#REF!,4,FALSE)</f>
        <v>#REF!</v>
      </c>
      <c r="I697" s="1" t="str">
        <f>J4</f>
        <v>ezüst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kefélt oliva</v>
      </c>
      <c r="D698" s="49">
        <v>191699</v>
      </c>
      <c r="E698" s="48" t="str">
        <f>+VLOOKUP(A698,cennik!A:G,2,FALSE)</f>
        <v>SEVROLL 04618-Y Victoria II fogantyú profil 2,7m oliva szálcsiszolt</v>
      </c>
      <c r="F698" s="48" t="str">
        <f>+VLOOKUP(A698,cennik!A:B,2,FALSE)</f>
        <v>SEVROLL 04618-Y Victoria II fogantyú profil 2,7m oliva szálcsiszolt</v>
      </c>
      <c r="G698" s="1"/>
      <c r="H698" s="1"/>
      <c r="I698" s="1" t="str">
        <f>J7</f>
        <v>kefélt oliva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szálcsi.oliva sö.</v>
      </c>
      <c r="D699" s="49">
        <v>216620</v>
      </c>
      <c r="E699" s="48" t="str">
        <f>+VLOOKUP(A699,cennik!A:G,2,FALSE)</f>
        <v>SEVROLL Victoria II 2,7m oliva sötét szálcsiszolt</v>
      </c>
      <c r="F699" s="48" t="str">
        <f>+VLOOKUP(A699,cennik!A:B,2,FALSE)</f>
        <v>SEVROLL Victoria II 2,7m oliva sötét szálcsiszolt</v>
      </c>
      <c r="G699" s="1"/>
      <c r="H699" s="1"/>
      <c r="I699" s="1" t="str">
        <f>J8</f>
        <v>szálcsi.oliva sö.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szálcsi.fekete</v>
      </c>
      <c r="D700" s="49">
        <v>216621</v>
      </c>
      <c r="E700" s="48" t="str">
        <f>+VLOOKUP(A700,cennik!A:G,2,FALSE)</f>
        <v>SEVROLL 04617  Victoria II 2,7m fekete szálcsiszolt</v>
      </c>
      <c r="F700" s="48" t="str">
        <f>+VLOOKUP(A700,cennik!A:B,2,FALSE)</f>
        <v>SEVROLL 04617  Victoria II 2,7m fekete szálcsiszolt</v>
      </c>
      <c r="G700" s="1"/>
      <c r="H700" s="1"/>
      <c r="I700" s="1" t="str">
        <f>J9</f>
        <v>szálcsi.fekete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fogantyú profil 18mm 2,7m oliva</v>
      </c>
      <c r="F701" s="48" t="str">
        <f>+VLOOKUP(A701,cennik!A:B,2,FALSE)</f>
        <v>SEVROLL 00635 Tytan fogantyú profil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ezüst</v>
      </c>
      <c r="D702" s="49">
        <v>89099</v>
      </c>
      <c r="E702" s="48" t="str">
        <f>+VLOOKUP(A702,cennik!A:G,2,FALSE)</f>
        <v>SEVROLL  00639 Tytan fogantyú profil 18mm 2,7m ezüst</v>
      </c>
      <c r="F702" s="48" t="str">
        <f>+VLOOKUP(A702,cennik!A:B,2,FALSE)</f>
        <v>SEVROLL  00639 Tytan fogantyú profil 18mm 2,7m ezüst</v>
      </c>
      <c r="G702" s="1" t="e">
        <f>+VLOOKUP(A702,#REF!,4,FALSE)</f>
        <v>#REF!</v>
      </c>
      <c r="H702" s="1"/>
      <c r="I702" s="1" t="str">
        <f>J4</f>
        <v>ezüst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ezüst</v>
      </c>
      <c r="D703" s="49">
        <v>213977</v>
      </c>
      <c r="E703" s="48" t="str">
        <f>+VLOOKUP(A703,cennik!A:G,2,FALSE)</f>
        <v>SEVROLL 04611 Beta 18 fogantyú profil 2,70m ezüst</v>
      </c>
      <c r="F703" s="48" t="str">
        <f>+VLOOKUP(A703,cennik!A:B,2,FALSE)</f>
        <v>SEVROLL 04611 Beta 18 fogantyú profil 2,70m ezüst</v>
      </c>
      <c r="G703" s="1"/>
      <c r="H703" s="1"/>
      <c r="I703" s="1" t="str">
        <f>J4</f>
        <v>ezüst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fogantyú profil 2,70m oliva</v>
      </c>
      <c r="F704" s="48" t="str">
        <f>+VLOOKUP(A704,cennik!A:B,2,FALSE)</f>
        <v>SEVROLL Beta 18 fogantyú profil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ezüst</v>
      </c>
      <c r="D705" s="49">
        <v>246893</v>
      </c>
      <c r="E705" s="48" t="str">
        <f>+VLOOKUP(A705,cennik!A:G,2,FALSE)</f>
        <v>SEVROLL 03917 Oaza II fogantyú profil 2,7m ezüst</v>
      </c>
      <c r="F705" s="48" t="str">
        <f>+VLOOKUP(A705,cennik!A:B,2,FALSE)</f>
        <v>SEVROLL 03917 Oaza II fogantyú profil 2,7m ezüst</v>
      </c>
      <c r="G705" s="1"/>
      <c r="H705" s="1"/>
      <c r="I705" s="1" t="str">
        <f>J4</f>
        <v>ezüst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fogantyú profil 2,7m oliva</v>
      </c>
      <c r="F706" s="48" t="str">
        <f>+VLOOKUP(A706,cennik!A:B,2,FALSE)</f>
        <v>SEVROLL 03916 Oaza II fogantyú profil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ezüst</v>
      </c>
      <c r="D707" s="49">
        <v>135136</v>
      </c>
      <c r="E707" s="48" t="str">
        <f>+VLOOKUP(A707,cennik!A:G,2,FALSE)</f>
        <v>SEVROLL 05546 Factor 18 II fogantyú profil 2,7m ezüst</v>
      </c>
      <c r="F707" s="48" t="str">
        <f>+VLOOKUP(A707,cennik!A:B,2,FALSE)</f>
        <v>SEVROLL 05546 Factor 18 II fogantyú profil 2,7m ezüst</v>
      </c>
      <c r="G707" s="1" t="e">
        <f>+VLOOKUP(A707,#REF!,4,FALSE)</f>
        <v>#REF!</v>
      </c>
      <c r="I707" s="1" t="str">
        <f>J4</f>
        <v>ezüst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 04548 Factor 18 II fogantyú profil 2,7m oliva</v>
      </c>
      <c r="F708" s="48" t="str">
        <f>+VLOOKUP(A708,cennik!A:B,2,FALSE)</f>
        <v>SEVROLL  04548 Factor 18 II fogantyú profil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ezüst</v>
      </c>
      <c r="D709" s="49">
        <v>196711</v>
      </c>
      <c r="E709" s="48" t="str">
        <f>+VLOOKUP(A709,cennik!A:G,2,FALSE)</f>
        <v>Sevroll 85515  Lux III fogantyú profil 2,7m ezüst</v>
      </c>
      <c r="F709" s="48" t="str">
        <f>+VLOOKUP(A709,cennik!A:B,2,FALSE)</f>
        <v>Sevroll 85515  Lux III fogantyú profil 2,7m ezüst</v>
      </c>
      <c r="H709" s="1">
        <v>2700</v>
      </c>
      <c r="I709" s="1" t="str">
        <f>J4</f>
        <v>ezüst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arany/sárgaréz</v>
      </c>
      <c r="D710" s="49">
        <v>489624</v>
      </c>
      <c r="E710" s="48" t="str">
        <f>+VLOOKUP(A710,cennik!A:G,2,FALSE)</f>
        <v>Sevroll 05000 Lux III fogantyú profil 2,7m arany</v>
      </c>
      <c r="F710" s="48" t="str">
        <f>+VLOOKUP(A710,cennik!A:B,2,FALSE)</f>
        <v>Sevroll 05000 Lux III fogantyú profil 2,7m arany</v>
      </c>
      <c r="H710" s="1">
        <v>2700</v>
      </c>
      <c r="I710" s="1" t="str">
        <f>J5</f>
        <v>arany/sárgaréz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fogantyú profil 2,7m oliva</v>
      </c>
      <c r="F711" s="48" t="str">
        <f>+VLOOKUP(A711,cennik!A:B,2,FALSE)</f>
        <v>Sevroll 85615 Lux III fogantyú profil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ezüst</v>
      </c>
      <c r="D712" s="49">
        <v>489625</v>
      </c>
      <c r="E712" s="48" t="str">
        <f>+VLOOKUP(A712,cennik!A:G,2,FALSE)</f>
        <v>Sevroll 81002 Lux III fogantyú profil 3m ezüst</v>
      </c>
      <c r="F712" s="48" t="str">
        <f>+VLOOKUP(A712,cennik!A:B,2,FALSE)</f>
        <v>Sevroll 81002 Lux III fogantyú profil 3m ezüst</v>
      </c>
      <c r="H712" s="1">
        <v>3000</v>
      </c>
      <c r="I712" s="1" t="str">
        <f>J4</f>
        <v>ezüst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fogantyú profil 3m olívazöld</v>
      </c>
      <c r="F713" s="48" t="str">
        <f>+VLOOKUP(A713,cennik!A:B,2,FALSE)</f>
        <v>Sevroll 85622  Lux III fogantyú profil 3m olívazöld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arany/sárgaréz</v>
      </c>
      <c r="D714" s="49">
        <v>489949</v>
      </c>
      <c r="E714" s="48" t="str">
        <f>+VLOOKUP(A714,cennik!A:G,2,FALSE)</f>
        <v>Sevroll 05001 Lux III fogantyú profil 3m arany</v>
      </c>
      <c r="F714" s="48" t="str">
        <f>+VLOOKUP(A714,cennik!A:B,2,FALSE)</f>
        <v>Sevroll 05001 Lux III fogantyú profil 3m arany</v>
      </c>
      <c r="I714" s="1" t="str">
        <f>J5</f>
        <v>arany/sárgaréz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 04377 Fox II fogantyú profil 2,7m oliva</v>
      </c>
      <c r="F715" s="419" t="str">
        <f>+VLOOKUP(A715,cennik!A:B,2,FALSE)</f>
        <v>SEVROLL  04377 Fox II fogantyú profil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arany/sárgaréz</v>
      </c>
      <c r="D716" s="421">
        <v>542872</v>
      </c>
      <c r="E716" s="419" t="str">
        <f>+VLOOKUP(A716,cennik!A:G,2,FALSE)</f>
        <v>SEVROLL 06819 Fox II fogantyú profil 2,7m arany/sárgaréz</v>
      </c>
      <c r="F716" s="419" t="str">
        <f>+VLOOKUP(A716,cennik!A:B,2,FALSE)</f>
        <v>SEVROLL 06819 Fox II fogantyú profil 2,7m arany/sárgaréz</v>
      </c>
      <c r="G716" s="417"/>
      <c r="H716" s="417"/>
      <c r="I716" s="417" t="str">
        <f>J5</f>
        <v>arany/sárgaréz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kefélt oliva</v>
      </c>
      <c r="D717" s="421">
        <v>96429</v>
      </c>
      <c r="E717" s="419" t="str">
        <f>+VLOOKUP(A717,cennik!A:G,2,FALSE)</f>
        <v>SEVROLL 04376-Y  Fox II fogantyú profil 2,7m oliva szálcsiszolt</v>
      </c>
      <c r="F717" s="419" t="str">
        <f>+VLOOKUP(A717,cennik!A:B,2,FALSE)</f>
        <v>SEVROLL 04376-Y  Fox II fogantyú profil 2,7m oliva szálcsiszolt</v>
      </c>
      <c r="G717" s="417"/>
      <c r="H717" s="417"/>
      <c r="I717" s="417" t="str">
        <f>J7</f>
        <v>kefélt oliva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ezüst</v>
      </c>
      <c r="D718" s="421">
        <v>96421</v>
      </c>
      <c r="E718" s="419" t="str">
        <f>+VLOOKUP(A718,cennik!A:G,2,FALSE)</f>
        <v>SEVROLL  04382 Fox II fogantyú profil 2,7m ezüst</v>
      </c>
      <c r="F718" s="419" t="str">
        <f>+VLOOKUP(A718,cennik!A:B,2,FALSE)</f>
        <v>SEVROLL  04382 Fox II fogantyú profil 2,7m ezüst</v>
      </c>
      <c r="G718" s="417"/>
      <c r="H718" s="417"/>
      <c r="I718" s="417" t="str">
        <f>J4</f>
        <v>ezüst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szálcsi.oliva sö.</v>
      </c>
      <c r="D719" s="421">
        <v>205074</v>
      </c>
      <c r="E719" s="419" t="str">
        <f>+VLOOKUP(A719,cennik!A:G,2,FALSE)</f>
        <v>SEVROLL Fox II fogantyú profil 2,7m oliva sötét szálcsiszolt</v>
      </c>
      <c r="F719" s="419" t="str">
        <f>+VLOOKUP(A719,cennik!A:B,2,FALSE)</f>
        <v>SEVROLL Fox II fogantyú profil 2,7m oliva sötét szálcsiszolt</v>
      </c>
      <c r="G719" s="417"/>
      <c r="H719" s="417"/>
      <c r="I719" s="417" t="str">
        <f>J8</f>
        <v>szálcsi.oliva sö.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szálcsi.fekete</v>
      </c>
      <c r="D720" s="421">
        <v>205077</v>
      </c>
      <c r="E720" s="419" t="str">
        <f>+VLOOKUP(A720,cennik!A:G,2,FALSE)</f>
        <v>SEVROLL 04375  Fox II fogantyú profil 2,7m fekete szálcsiszolt</v>
      </c>
      <c r="F720" s="419" t="str">
        <f>+VLOOKUP(A720,cennik!A:B,2,FALSE)</f>
        <v>SEVROLL 04375  Fox II fogantyú profil 2,7m fekete szálcsiszolt</v>
      </c>
      <c r="G720" s="417"/>
      <c r="H720" s="417"/>
      <c r="I720" s="417" t="str">
        <f>J9</f>
        <v>szálcsi.fekete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matt fehér</v>
      </c>
      <c r="D721" s="421">
        <v>489302</v>
      </c>
      <c r="E721" s="419" t="str">
        <f>+VLOOKUP(A721,cennik!A:G,2,FALSE)</f>
        <v>SEVROLL 05900 Fox II fogantyú profil 2,7m matt fehér</v>
      </c>
      <c r="F721" s="419" t="str">
        <f>+VLOOKUP(A721,cennik!A:B,2,FALSE)</f>
        <v>SEVROLL 05900 Fox II fogantyú profil 2,7m matt fehér</v>
      </c>
      <c r="G721" s="417"/>
      <c r="H721" s="417"/>
      <c r="I721" s="417" t="str">
        <f>J18</f>
        <v>matt fehér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fehér fényes</v>
      </c>
      <c r="D722" s="421">
        <v>265065</v>
      </c>
      <c r="E722" s="419" t="str">
        <f>+VLOOKUP(A722,cennik!A:G,2,FALSE)</f>
        <v>SEVROLL  04379 Fox II fogantyú profil 2,7m fényes fehér</v>
      </c>
      <c r="F722" s="419" t="str">
        <f>+VLOOKUP(A722,cennik!A:B,2,FALSE)</f>
        <v>SEVROLL  04379 Fox II fogantyú profil 2,7m fényes fehér</v>
      </c>
      <c r="G722" s="417"/>
      <c r="H722" s="417"/>
      <c r="I722" s="417" t="str">
        <f>J15</f>
        <v>fehér fényes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fényes fekete</v>
      </c>
      <c r="D723" s="418">
        <v>395506</v>
      </c>
      <c r="E723" s="419" t="str">
        <f>+VLOOKUP(A723,cennik!A:G,2,FALSE)</f>
        <v>SEVROLL 05154 Fox II fogantyú profil 2,7m fényes fekete</v>
      </c>
      <c r="F723" s="419" t="str">
        <f>+VLOOKUP(A723,cennik!A:B,2,FALSE)</f>
        <v>SEVROLL 05154 Fox II fogantyú profil 2,7m fényes fekete</v>
      </c>
      <c r="G723" s="417"/>
      <c r="H723" s="417"/>
      <c r="I723" s="417" t="str">
        <f>J16</f>
        <v>fényes fekete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fogantyú profil 2,7m grafit</v>
      </c>
      <c r="F724" s="419" t="str">
        <f>+VLOOKUP(A724,cennik!A:B,2,FALSE)</f>
        <v>SEVROLL 06019 Fox II fogantyú profil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matt feket</v>
      </c>
      <c r="D725" s="417">
        <v>425057</v>
      </c>
      <c r="E725" s="419" t="str">
        <f>+VLOOKUP(A725,cennik!A:G,2,FALSE)</f>
        <v>SEVROLL Fox II fogantyú profil 2,7m matt fekete</v>
      </c>
      <c r="F725" s="419" t="str">
        <f>+VLOOKUP(A725,cennik!A:B,2,FALSE)</f>
        <v>SEVROLL Fox II fogantyú profil 2,7m matt fekete</v>
      </c>
      <c r="G725" s="417"/>
      <c r="H725" s="417"/>
      <c r="I725" s="417" t="str">
        <f>J17</f>
        <v>matt feket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fekete szerkezeti</v>
      </c>
      <c r="D726" s="417">
        <v>524826</v>
      </c>
      <c r="E726" s="419" t="str">
        <f>+VLOOKUP(A726,cennik!A:G,2,FALSE)</f>
        <v>SEVROLL 06126 Fox II fogantyú profil 2,7m fekete szerkezeti</v>
      </c>
      <c r="F726" s="419" t="str">
        <f>+VLOOKUP(A726,cennik!A:B,2,FALSE)</f>
        <v>SEVROLL 06126 Fox II fogantyú profil 2,7m fekete szerkezeti</v>
      </c>
      <c r="G726" s="417"/>
      <c r="H726" s="417"/>
      <c r="I726" s="417" t="str">
        <f>J22</f>
        <v>fekete szerkezeti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ezüst</v>
      </c>
      <c r="D727" s="417">
        <v>372604</v>
      </c>
      <c r="E727" s="419" t="str">
        <f>+VLOOKUP(A727,cennik!A:G,2,FALSE)</f>
        <v>SEVROLL 04906 Vitara fogantyú profil 2,7m ezüst</v>
      </c>
      <c r="F727" s="419" t="str">
        <f>+VLOOKUP(A727,cennik!A:B,2,FALSE)</f>
        <v>SEVROLL 04906 Vitara fogantyú profil 2,7m ezüst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fogantyú profil 2,7m oliva</v>
      </c>
      <c r="F728" s="419" t="str">
        <f>+VLOOKUP(A728,cennik!A:B,2,FALSE)</f>
        <v>SEVROLL 04905 Vitara fogantyú profil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matt feket</v>
      </c>
      <c r="D729" s="417">
        <v>489309</v>
      </c>
      <c r="E729" s="419" t="str">
        <f>+VLOOKUP(A729,cennik!A:G,2,FALSE)</f>
        <v>SEVROLL 05982 Vitara fogantyú profil 2,7m fekete matt</v>
      </c>
      <c r="F729" s="419" t="str">
        <f>+VLOOKUP(A729,cennik!A:B,2,FALSE)</f>
        <v>SEVROLL 05982 Vitara fogantyú profil 2,7m fekete matt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fehér fényes</v>
      </c>
      <c r="D730" s="417">
        <v>372606</v>
      </c>
      <c r="E730" s="419" t="str">
        <f>+VLOOKUP(A730,cennik!A:G,2,FALSE)</f>
        <v>SEVROLL 04909 Vitara fogantyú profil 2,7m fehér fényes</v>
      </c>
      <c r="F730" s="419" t="str">
        <f>+VLOOKUP(A730,cennik!A:B,2,FALSE)</f>
        <v>SEVROLL 04909 Vitara fogantyú profil 2,7m fehér fényes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fogantyú profil 2,7m oliva</v>
      </c>
      <c r="F731" s="48" t="str">
        <f>+VLOOKUP(A731,cennik!A:B,2,FALSE)</f>
        <v>SEVROLL 04571 Focus II 18mm fogantyú profil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ezüst</v>
      </c>
      <c r="D732" s="49">
        <v>245815</v>
      </c>
      <c r="E732" s="48" t="str">
        <f>+VLOOKUP(A732,cennik!A:G,2,FALSE)</f>
        <v>SEVROLL 04572 Focus II 18mm fogantyú profil 2,7m ezüst</v>
      </c>
      <c r="F732" s="48" t="str">
        <f>+VLOOKUP(A732,cennik!A:B,2,FALSE)</f>
        <v>SEVROLL 04572 Focus II 18mm fogantyú profil 2,7m ezüst</v>
      </c>
      <c r="I732" s="1" t="str">
        <f>J4</f>
        <v>ezüst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matt feket</v>
      </c>
      <c r="D733" s="49">
        <v>489301</v>
      </c>
      <c r="E733" s="48" t="str">
        <f>+VLOOKUP(A733,cennik!A:G,2,FALSE)</f>
        <v>SEVROLL 05903 Focus II 18mm fogantyú profil 2,7m</v>
      </c>
      <c r="F733" s="48" t="str">
        <f>+VLOOKUP(A733,cennik!A:B,2,FALSE)</f>
        <v>SEVROLL 05903 Focus II 18mm fogantyú profil 2,7m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arany/sárgaréz</v>
      </c>
      <c r="D734" s="49">
        <v>542589</v>
      </c>
      <c r="E734" s="48" t="str">
        <f>+VLOOKUP(A734,cennik!A:G,2,FALSE)</f>
        <v>SEVROLL 06818 Focus II 18mm fogantyú profil 2,7m arany/sárgaréz</v>
      </c>
      <c r="F734" s="48" t="str">
        <f>+VLOOKUP(A734,cennik!A:B,2,FALSE)</f>
        <v>SEVROLL 06818 Focus II 18mm fogantyú profil 2,7m arany/sárgaréz</v>
      </c>
      <c r="I734" s="1" t="str">
        <f>J5</f>
        <v>arany/sárgaréz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 Universal 18 fogantyú profil 2,7m oliva</v>
      </c>
      <c r="F735" s="48" t="str">
        <f>+VLOOKUP(A735,cennik!A:B,2,FALSE)</f>
        <v>SEVROLL 04534  Universal 18 fogantyú profil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ezüst</v>
      </c>
      <c r="D736" s="49">
        <v>90106</v>
      </c>
      <c r="E736" s="48" t="str">
        <f>+VLOOKUP(A736,cennik!A:G,2,FALSE)</f>
        <v>SEVROLL  04535 Universal 18 fogantyú profil 2,7m ezüst</v>
      </c>
      <c r="F736" s="48" t="str">
        <f>+VLOOKUP(A736,cennik!A:B,2,FALSE)</f>
        <v>SEVROLL  04535 Universal 18 fogantyú profil 2,7m ezüst</v>
      </c>
      <c r="I736" s="1" t="str">
        <f>J4</f>
        <v>ezüst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1700-ezüst</v>
      </c>
      <c r="D737" s="49">
        <v>98110</v>
      </c>
      <c r="E737" s="48" t="str">
        <f>+VLOOKUP(A737,cennik!A:G,2,FALSE)</f>
        <v>SEVROLL Comfort felső vezetés 1,7m ezüst</v>
      </c>
      <c r="F737" s="48" t="str">
        <f>+VLOOKUP(A737,cennik!A:B,2,FALSE)</f>
        <v>SEVROLL Comfort felső vezetés 1,7m ezüst</v>
      </c>
      <c r="H737" s="1" t="s">
        <v>464</v>
      </c>
      <c r="I737" s="1" t="str">
        <f>CONCATENATE(H737,"-",J4)</f>
        <v>1700-ezüst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2350-ezüst</v>
      </c>
      <c r="D738" s="49">
        <v>227321</v>
      </c>
      <c r="E738" s="48" t="str">
        <f>+VLOOKUP(A738,cennik!A:G,2,FALSE)</f>
        <v>SEVROLL 02835 Comfort felső vezető profil2,35m ezüst</v>
      </c>
      <c r="F738" s="48" t="str">
        <f>+VLOOKUP(A738,cennik!A:B,2,FALSE)</f>
        <v>SEVROLL 02835 Comfort felső vezető profil2,35m ezüst</v>
      </c>
      <c r="H738" s="1" t="s">
        <v>465</v>
      </c>
      <c r="I738" s="1" t="str">
        <f>CONCATENATE(H738,"-",J4)</f>
        <v>2350-ezüst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3000-ezüst</v>
      </c>
      <c r="D739" s="49">
        <v>227324</v>
      </c>
      <c r="E739" s="48" t="str">
        <f>+VLOOKUP(A739,cennik!A:G,2,FALSE)</f>
        <v>SEVROLL 02836 Comfort felső vezető profil3m ezüst</v>
      </c>
      <c r="F739" s="48" t="str">
        <f>+VLOOKUP(A739,cennik!A:B,2,FALSE)</f>
        <v>SEVROLL 02836 Comfort felső vezető profil3m ezüst</v>
      </c>
      <c r="H739" s="1" t="s">
        <v>466</v>
      </c>
      <c r="I739" s="1" t="str">
        <f>CONCATENATE(H739,"-",J4)</f>
        <v>3000-ezüst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4050-ezüst</v>
      </c>
      <c r="D740" s="49">
        <v>98079</v>
      </c>
      <c r="E740" s="48" t="str">
        <f>+VLOOKUP(A740,cennik!A:G,2,FALSE)</f>
        <v>SEVROLL 02837 Comfort felső vezető profil4,05m ezüst</v>
      </c>
      <c r="F740" s="48" t="str">
        <f>+VLOOKUP(A740,cennik!A:B,2,FALSE)</f>
        <v>SEVROLL 02837 Comfort felső vezető profil4,05m ezüst</v>
      </c>
      <c r="H740" s="1" t="s">
        <v>467</v>
      </c>
      <c r="I740" s="1" t="str">
        <f>CONCATENATE(H740,"-",J4)</f>
        <v>4050-ezüst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6000-ezüst</v>
      </c>
      <c r="D741" s="49">
        <v>227196</v>
      </c>
      <c r="E741" s="48" t="str">
        <f>+VLOOKUP(A741,cennik!A:G,2,FALSE)</f>
        <v>SEVROLL Comfort felső vezetés 6m ezüst</v>
      </c>
      <c r="F741" s="48" t="str">
        <f>+VLOOKUP(A741,cennik!A:B,2,FALSE)</f>
        <v>SEVROLL Comfort felső vezetés 6m ezüst</v>
      </c>
      <c r="H741" s="144" t="s">
        <v>536</v>
      </c>
      <c r="I741" s="1" t="str">
        <f>CONCATENATE(H741,"-",J4)</f>
        <v>6000-ezüst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felső vezetés 1,7m oliva</v>
      </c>
      <c r="F742" s="48" t="str">
        <f>+VLOOKUP(A742,cennik!A:B,2,FALSE)</f>
        <v>SEVROLL Comfort felső vezetés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Comfort felső vezetés 2,35m oliva</v>
      </c>
      <c r="F743" s="48" t="str">
        <f>+VLOOKUP(A743,cennik!A:B,2,FALSE)</f>
        <v>SEVROLL Comfort felső vezetés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Comfort felső vezetés 3m oliva</v>
      </c>
      <c r="F744" s="48" t="str">
        <f>+VLOOKUP(A744,cennik!A:B,2,FALSE)</f>
        <v>SEVROLL Comfort felső vezetés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Comfort felső vezetés 4,05m oliva</v>
      </c>
      <c r="F745" s="48" t="str">
        <f>+VLOOKUP(A745,cennik!A:B,2,FALSE)</f>
        <v>SEVROLL Comfort felső vezetés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felső vezetés 6m oliva</v>
      </c>
      <c r="F746" s="48" t="str">
        <f>+VLOOKUP(A746,cennik!A:B,2,FALSE)</f>
        <v>SEVROLL Comfort felső vezetés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1700-ezüst</v>
      </c>
      <c r="D747" s="49">
        <v>163106</v>
      </c>
      <c r="E747" s="48" t="str">
        <f>+VLOOKUP(A747,cennik!A:G,2,FALSE)</f>
        <v>SEVROLL Doubler II alsó vezetés 1,7m ezüst</v>
      </c>
      <c r="F747" s="48" t="str">
        <f>+VLOOKUP(A747,cennik!A:B,2,FALSE)</f>
        <v>SEVROLL Doubler II alsó vezetés 1,7m ezüst</v>
      </c>
      <c r="H747" s="1" t="s">
        <v>464</v>
      </c>
      <c r="I747" s="1" t="str">
        <f>CONCATENATE(H747,"-",J4)</f>
        <v>1700-ezüst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2350-ezüst</v>
      </c>
      <c r="D748" s="49">
        <v>163107</v>
      </c>
      <c r="E748" s="48" t="str">
        <f>+VLOOKUP(A748,cennik!A:G,2,FALSE)</f>
        <v>SEVROLL 02850 Doubler II alsó vezető profil 2,35m ezüst</v>
      </c>
      <c r="F748" s="48" t="str">
        <f>+VLOOKUP(A748,cennik!A:B,2,FALSE)</f>
        <v>SEVROLL 02850 Doubler II alsó vezető profil 2,35m ezüst</v>
      </c>
      <c r="H748" s="1" t="s">
        <v>465</v>
      </c>
      <c r="I748" s="1" t="str">
        <f>CONCATENATE(H748,"-",J4)</f>
        <v>2350-ezüst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3000-ezüst</v>
      </c>
      <c r="D749" s="49">
        <v>163108</v>
      </c>
      <c r="E749" s="48" t="str">
        <f>+VLOOKUP(A749,cennik!A:G,2,FALSE)</f>
        <v>SEVROLL 02851 Doubler II alsó vezető profil 3m ezüst</v>
      </c>
      <c r="F749" s="48" t="str">
        <f>+VLOOKUP(A749,cennik!A:B,2,FALSE)</f>
        <v>SEVROLL 02851 Doubler II alsó vezető profil 3m ezüst</v>
      </c>
      <c r="H749" s="1" t="s">
        <v>466</v>
      </c>
      <c r="I749" s="1" t="str">
        <f>CONCATENATE(H749,"-",J4)</f>
        <v>3000-ezüst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4050-ezüst</v>
      </c>
      <c r="D750" s="49">
        <v>98107</v>
      </c>
      <c r="E750" s="48" t="str">
        <f>+VLOOKUP(A750,cennik!A:G,2,FALSE)</f>
        <v>SEVROLL 02852 Doubler II alsó vezető profil 4,05m ezüst</v>
      </c>
      <c r="F750" s="48" t="str">
        <f>+VLOOKUP(A750,cennik!A:B,2,FALSE)</f>
        <v>SEVROLL 02852 Doubler II alsó vezető profil 4,05m ezüst</v>
      </c>
      <c r="H750" s="1" t="s">
        <v>467</v>
      </c>
      <c r="I750" s="1" t="str">
        <f>CONCATENATE(H750,"-",J4)</f>
        <v>4050-ezüst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6000-ezüst</v>
      </c>
      <c r="D751" s="49">
        <v>163110</v>
      </c>
      <c r="E751" s="48" t="str">
        <f>+VLOOKUP(A751,cennik!A:G,2,FALSE)</f>
        <v>SEVROLL Doubler II alsó vezetés 6m ezüst</v>
      </c>
      <c r="F751" s="48" t="str">
        <f>+VLOOKUP(A751,cennik!A:B,2,FALSE)</f>
        <v>SEVROLL Doubler II alsó vezetés 6m ezüst</v>
      </c>
      <c r="H751" s="144" t="s">
        <v>536</v>
      </c>
      <c r="I751" s="1" t="str">
        <f>CONCATENATE(H751,"-",J4)</f>
        <v>6000-ezüst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Doubler II alsó vezetés 1,7m oliva</v>
      </c>
      <c r="F752" s="48" t="str">
        <f>+VLOOKUP(A752,cennik!A:B,2,FALSE)</f>
        <v>SEVROLL Doubler II alsó vezetés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Doubler II alsó vezetés 2,35m oliva</v>
      </c>
      <c r="F753" s="48" t="str">
        <f>+VLOOKUP(A753,cennik!A:B,2,FALSE)</f>
        <v>SEVROLL Doubler II alsó vezetés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Doubler II alsó vezetés 3m oliva</v>
      </c>
      <c r="F754" s="48" t="str">
        <f>+VLOOKUP(A754,cennik!A:B,2,FALSE)</f>
        <v>SEVROLL Doubler II alsó vezetés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Doubler II alsó vezetés 4,05m oliva</v>
      </c>
      <c r="F755" s="48" t="str">
        <f>+VLOOKUP(A755,cennik!A:B,2,FALSE)</f>
        <v>SEVROLL Doubler II alsó vezetés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Doubler II alsó vezetés 6m oliva</v>
      </c>
      <c r="F756" s="48" t="str">
        <f>+VLOOKUP(A756,cennik!A:B,2,FALSE)</f>
        <v>SEVROLL Doubler II alsó vezetés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1700-ezüst</v>
      </c>
      <c r="D757" s="49">
        <v>163122</v>
      </c>
      <c r="E757" s="48" t="str">
        <f>+VLOOKUP(A757,cennik!A:G,2,FALSE)</f>
        <v>SEVROLL Doubler II takaró profil 1,7m ezüst</v>
      </c>
      <c r="F757" s="48" t="str">
        <f>+VLOOKUP(A757,cennik!A:B,2,FALSE)</f>
        <v>SEVROLL Doubler II takaró profil 1,7m ezüst</v>
      </c>
      <c r="H757" s="1" t="s">
        <v>464</v>
      </c>
      <c r="I757" s="1" t="str">
        <f>CONCATENATE(H757,"-",J4)</f>
        <v>1700-ezüst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2350-ezüst</v>
      </c>
      <c r="D758" s="49">
        <v>163123</v>
      </c>
      <c r="E758" s="48" t="str">
        <f>+VLOOKUP(A758,cennik!A:G,2,FALSE)</f>
        <v>SEVROLL 02865 Doubler II takaró profil 2,35m ezüst</v>
      </c>
      <c r="F758" s="48" t="str">
        <f>+VLOOKUP(A758,cennik!A:B,2,FALSE)</f>
        <v>SEVROLL 02865 Doubler II takaró profil 2,35m ezüst</v>
      </c>
      <c r="H758" s="1" t="s">
        <v>465</v>
      </c>
      <c r="I758" s="1" t="str">
        <f>CONCATENATE(H758,"-",J4)</f>
        <v>2350-ezüst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3000-ezüst</v>
      </c>
      <c r="D759" s="49">
        <v>163125</v>
      </c>
      <c r="E759" s="48" t="str">
        <f>+VLOOKUP(A759,cennik!A:G,2,FALSE)</f>
        <v>SEVROLL 163125 Doubler II takaró profil 3m ezüst</v>
      </c>
      <c r="F759" s="48" t="str">
        <f>+VLOOKUP(A759,cennik!A:B,2,FALSE)</f>
        <v>SEVROLL 163125 Doubler II takaró profil 3m ezüst</v>
      </c>
      <c r="H759" s="1" t="s">
        <v>466</v>
      </c>
      <c r="I759" s="1" t="str">
        <f>CONCATENATE(H759,"-",J4)</f>
        <v>3000-ezüst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4050-ezüst</v>
      </c>
      <c r="D760" s="49">
        <v>162670</v>
      </c>
      <c r="E760" s="48" t="str">
        <f>+VLOOKUP(A760,cennik!A:G,2,FALSE)</f>
        <v>SEVROLL 02867 Doubler II takaró profil 4,05m ezüst</v>
      </c>
      <c r="F760" s="48" t="str">
        <f>+VLOOKUP(A760,cennik!A:B,2,FALSE)</f>
        <v>SEVROLL 02867 Doubler II takaró profil 4,05m ezüst</v>
      </c>
      <c r="H760" s="1" t="s">
        <v>467</v>
      </c>
      <c r="I760" s="1" t="str">
        <f>CONCATENATE(H760,"-",J4)</f>
        <v>4050-ezüst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6000-ezüst</v>
      </c>
      <c r="D761" s="49">
        <v>163128</v>
      </c>
      <c r="E761" s="48" t="str">
        <f>+VLOOKUP(A761,cennik!A:G,2,FALSE)</f>
        <v>SEVROLL Doubler II takaró profil 6m ezüst</v>
      </c>
      <c r="F761" s="48" t="str">
        <f>+VLOOKUP(A761,cennik!A:B,2,FALSE)</f>
        <v>SEVROLL Doubler II takaró profil 6m ezüst</v>
      </c>
      <c r="H761" s="144" t="s">
        <v>536</v>
      </c>
      <c r="I761" s="1" t="str">
        <f>CONCATENATE(H761,"-",J4)</f>
        <v>6000-ezüst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Doubler II takaró profil 1,7m oliva</v>
      </c>
      <c r="F762" s="48" t="str">
        <f>+VLOOKUP(A762,cennik!A:B,2,FALSE)</f>
        <v>SEVROLL Doubler II takaró profil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Doubler II takaró profil 2,35m oliva</v>
      </c>
      <c r="F763" s="48" t="str">
        <f>+VLOOKUP(A763,cennik!A:B,2,FALSE)</f>
        <v>SEVROLL Doubler II takaró profil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Doubler II takaró profil 3m oliva</v>
      </c>
      <c r="F764" s="48" t="str">
        <f>+VLOOKUP(A764,cennik!A:B,2,FALSE)</f>
        <v>SEVROLL Doubler II takaró profil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Doubler II takaró profil 4,05m oliva</v>
      </c>
      <c r="F765" s="48" t="str">
        <f>+VLOOKUP(A765,cennik!A:B,2,FALSE)</f>
        <v>SEVROLL Doubler II takaró profil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Doubler II takaró profil 6m oliva</v>
      </c>
      <c r="F766" s="48" t="str">
        <f>+VLOOKUP(A766,cennik!A:B,2,FALSE)</f>
        <v>SEVROLL Doubler II takaró profil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1700-ezüst</v>
      </c>
      <c r="D767" s="49">
        <v>89106</v>
      </c>
      <c r="E767" s="48" t="str">
        <f>+VLOOKUP(A767,cennik!A:G,2,FALSE)</f>
        <v>SEVROLL 01023 Gemini felső vezetés 1,7m ezüst</v>
      </c>
      <c r="F767" s="48" t="str">
        <f>+VLOOKUP(A767,cennik!A:B,2,FALSE)</f>
        <v>SEVROLL 01023 Gemini felső vezetés 1,7m ezüst</v>
      </c>
      <c r="H767" s="1">
        <v>1700</v>
      </c>
      <c r="I767" s="1" t="str">
        <f>CONCATENATE(H767,"-",J4)</f>
        <v>1700-ezüst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2350-ezüst</v>
      </c>
      <c r="D768" s="49">
        <v>89109</v>
      </c>
      <c r="E768" s="48" t="str">
        <f>+VLOOKUP(A768,cennik!A:G,2,FALSE)</f>
        <v>SEVROLL 01025 Gemini felső vezetés 2,35m ezüst</v>
      </c>
      <c r="F768" s="48" t="str">
        <f>+VLOOKUP(A768,cennik!A:B,2,FALSE)</f>
        <v>SEVROLL 01025 Gemini felső vezetés 2,35m ezüst</v>
      </c>
      <c r="H768" s="1">
        <v>2350</v>
      </c>
      <c r="I768" s="1" t="str">
        <f>CONCATENATE(H768,"-",J4)</f>
        <v>2350-ezüst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3000-ezüst</v>
      </c>
      <c r="D769" s="49">
        <v>89112</v>
      </c>
      <c r="E769" s="48" t="str">
        <f>+VLOOKUP(A769,cennik!A:G,2,FALSE)</f>
        <v>SEVROLL  01026 Gemini felső sín 3m, ezüst</v>
      </c>
      <c r="F769" s="48" t="str">
        <f>+VLOOKUP(A769,cennik!A:B,2,FALSE)</f>
        <v>SEVROLL  01026 Gemini felső sín 3m, ezüst</v>
      </c>
      <c r="H769" s="1">
        <v>3000</v>
      </c>
      <c r="I769" s="1" t="str">
        <f>CONCATENATE(H769,"-",J4)</f>
        <v>3000-ezüst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4050-ezüst</v>
      </c>
      <c r="D770" s="49">
        <v>89115</v>
      </c>
      <c r="E770" s="48" t="str">
        <f>+VLOOKUP(A770,cennik!A:G,2,FALSE)</f>
        <v>SEVROLL 01469 Gemini felső vezetés 4,05m ezüst</v>
      </c>
      <c r="F770" s="48" t="str">
        <f>+VLOOKUP(A770,cennik!A:B,2,FALSE)</f>
        <v>SEVROLL 01469 Gemini felső vezetés 4,05m ezüst</v>
      </c>
      <c r="H770" s="1">
        <v>4050</v>
      </c>
      <c r="I770" s="1" t="str">
        <f>CONCATENATE(H770,"-",J4)</f>
        <v>4050-ezüst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6000-ezüst</v>
      </c>
      <c r="D771" s="49">
        <v>134933</v>
      </c>
      <c r="E771" s="48" t="str">
        <f>+VLOOKUP(A771,cennik!A:G,2,FALSE)</f>
        <v>SEVROLL 01391 Gemini felső vezetés 6m ezüst</v>
      </c>
      <c r="F771" s="48" t="str">
        <f>+VLOOKUP(A771,cennik!A:B,2,FALSE)</f>
        <v>SEVROLL 01391 Gemini felső vezetés 6m ezüst</v>
      </c>
      <c r="H771" s="164">
        <v>6000</v>
      </c>
      <c r="I771" s="1" t="str">
        <f>CONCATENATE(H771,"-",J4)</f>
        <v>6000-ezüst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1700-ezüst</v>
      </c>
      <c r="D772" s="49">
        <v>84385</v>
      </c>
      <c r="E772" s="48" t="str">
        <f>+VLOOKUP(A772,cennik!A:G,2,FALSE)</f>
        <v>SEVROLL 04279 Elegant II alsó vezetés 1,7m ezüst</v>
      </c>
      <c r="F772" s="48" t="str">
        <f>+VLOOKUP(A772,cennik!A:B,2,FALSE)</f>
        <v>SEVROLL 04279 Elegant II alsó vezetés 1,7m ezüst</v>
      </c>
      <c r="H772" s="1">
        <v>1700</v>
      </c>
      <c r="I772" s="1" t="str">
        <f>CONCATENATE(H772,"-",J4)</f>
        <v>1700-ezüst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2350-ezüst</v>
      </c>
      <c r="D773" s="49">
        <v>84388</v>
      </c>
      <c r="E773" s="48" t="str">
        <f>+VLOOKUP(A773,cennik!A:G,2,FALSE)</f>
        <v>SEVROLL 04280 Elegant II alsó vezetés 2,35m ezüst</v>
      </c>
      <c r="F773" s="48" t="str">
        <f>+VLOOKUP(A773,cennik!A:B,2,FALSE)</f>
        <v>SEVROLL 04280 Elegant II alsó vezetés 2,35m ezüst</v>
      </c>
      <c r="H773" s="1">
        <v>2350</v>
      </c>
      <c r="I773" s="1" t="str">
        <f>CONCATENATE(H773,"-",J4)</f>
        <v>2350-ezüst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3000-ezüst</v>
      </c>
      <c r="D774" s="49">
        <v>84391</v>
      </c>
      <c r="E774" s="48" t="str">
        <f>+VLOOKUP(A774,cennik!A:G,2,FALSE)</f>
        <v>SEVROLL 04281 Elegant II alsó vezetés 3m ezüst</v>
      </c>
      <c r="F774" s="48" t="str">
        <f>+VLOOKUP(A774,cennik!A:B,2,FALSE)</f>
        <v>SEVROLL 04281 Elegant II alsó vezetés 3m ezüst</v>
      </c>
      <c r="H774" s="1">
        <v>3000</v>
      </c>
      <c r="I774" s="1" t="str">
        <f>CONCATENATE(H774,"-",J4)</f>
        <v>3000-ezüst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4050-ezüst</v>
      </c>
      <c r="D775" s="49">
        <v>84394</v>
      </c>
      <c r="E775" s="48" t="str">
        <f>+VLOOKUP(A775,cennik!A:G,2,FALSE)</f>
        <v>SEVROLL 04282  Elegant II alsó vezetés 4,05m ezüst</v>
      </c>
      <c r="F775" s="48" t="str">
        <f>+VLOOKUP(A775,cennik!A:B,2,FALSE)</f>
        <v>SEVROLL 04282  Elegant II alsó vezetés 4,05m ezüst</v>
      </c>
      <c r="H775" s="1">
        <v>4050</v>
      </c>
      <c r="I775" s="1" t="str">
        <f>CONCATENATE(H775,"-",J4)</f>
        <v>4050-ezüst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6000-ezüst</v>
      </c>
      <c r="D776" s="49">
        <v>350687</v>
      </c>
      <c r="E776" s="48" t="str">
        <f>+VLOOKUP(A776,cennik!A:G,2,FALSE)</f>
        <v>SEVROLL 04284  Elegant II alsó vezetés 6m ezüst</v>
      </c>
      <c r="F776" s="48" t="str">
        <f>+VLOOKUP(A776,cennik!A:B,2,FALSE)</f>
        <v>SEVROLL 04284  Elegant II alsó vezetés 6m ezüst</v>
      </c>
      <c r="H776" s="164">
        <v>6000</v>
      </c>
      <c r="I776" s="1" t="str">
        <f>CONCATENATE(H776,"-",J4)</f>
        <v>6000-ezüst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1700-ezüst</v>
      </c>
      <c r="D777" s="49">
        <v>496366</v>
      </c>
      <c r="E777" s="48" t="str">
        <f>+VLOOKUP(A777,cennik!A:G,2,FALSE)</f>
        <v>SEVROLL 05792 GM 18 vezető profil 1,7m ezüst</v>
      </c>
      <c r="F777" s="48" t="str">
        <f>+VLOOKUP(A777,cennik!A:B,2,FALSE)</f>
        <v>SEVROLL 05792 GM 18 vezető profil 1,7m ezüst</v>
      </c>
      <c r="H777" s="1">
        <v>1700</v>
      </c>
      <c r="I777" s="1" t="str">
        <f>CONCATENATE(H777,"-",J4)</f>
        <v>1700-ezüst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2350-ezüst</v>
      </c>
      <c r="D778" s="49">
        <v>496367</v>
      </c>
      <c r="E778" s="48" t="str">
        <f>+VLOOKUP(A778,cennik!A:G,2,FALSE)</f>
        <v>SEVROLL 05793 GM 18 vezető profil 2,35m ezüst</v>
      </c>
      <c r="F778" s="48" t="str">
        <f>+VLOOKUP(A778,cennik!A:B,2,FALSE)</f>
        <v>SEVROLL 05793 GM 18 vezető profil 2,35m ezüst</v>
      </c>
      <c r="H778" s="1">
        <v>2350</v>
      </c>
      <c r="I778" s="1" t="str">
        <f>CONCATENATE(H778,"-",J4)</f>
        <v>2350-ezüst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felső vezető profil 1,7m oliva</v>
      </c>
      <c r="F779" s="48" t="str">
        <f>+VLOOKUP(A779,cennik!A:B,2,FALSE)</f>
        <v>SEVROLL 05795 GM 18 felső vezető profil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vezető profil 2,35m oliva</v>
      </c>
      <c r="F780" s="48" t="str">
        <f>+VLOOKUP(A780,cennik!A:B,2,FALSE)</f>
        <v>SEVROLL 05796 GM 18 vezető profil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vezető profil 3m oliva</v>
      </c>
      <c r="F781" s="48" t="str">
        <f>+VLOOKUP(A781,cennik!A:B,2,FALSE)</f>
        <v>SEVROLL 05797 GM 18 vezető profil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1700-matt feket</v>
      </c>
      <c r="D782" s="49">
        <v>496974</v>
      </c>
      <c r="E782" s="48" t="str">
        <f>+VLOOKUP(A782,cennik!A:G,2,FALSE)</f>
        <v>SEVROLL 05918 GM 18 felső vezető profil 1,7m matt fekete</v>
      </c>
      <c r="F782" s="48" t="str">
        <f>+VLOOKUP(A782,cennik!A:B,2,FALSE)</f>
        <v>SEVROLL 05918 GM 18 felső vezető profil 1,7m matt fekete</v>
      </c>
      <c r="H782" s="1">
        <v>1700</v>
      </c>
      <c r="I782" s="1" t="str">
        <f>CONCATENATE(H782,"-",J17)</f>
        <v>1700-matt feket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2350-matt feket</v>
      </c>
      <c r="D783" s="49">
        <v>496977</v>
      </c>
      <c r="E783" s="48" t="str">
        <f>+VLOOKUP(A783,cennik!A:G,2,FALSE)</f>
        <v>SEVROLL 05919 GM 18 vezető profil 2,35m matt fekete</v>
      </c>
      <c r="F783" s="48" t="str">
        <f>+VLOOKUP(A783,cennik!A:B,2,FALSE)</f>
        <v>SEVROLL 05919 GM 18 vezető profil 2,35m matt fekete</v>
      </c>
      <c r="H783" s="1">
        <v>2350</v>
      </c>
      <c r="I783" s="1" t="str">
        <f>CONCATENATE(H783,"-",J17)</f>
        <v>2350-matt feket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3000-matt feket</v>
      </c>
      <c r="D784" s="49">
        <v>496979</v>
      </c>
      <c r="E784" s="48" t="str">
        <f>+VLOOKUP(A784,cennik!A:G,2,FALSE)</f>
        <v>SEVROLL 05920 GM 18 vezető profil 3m matt fekete</v>
      </c>
      <c r="F784" s="48" t="str">
        <f>+VLOOKUP(A784,cennik!A:B,2,FALSE)</f>
        <v>SEVROLL 05920 GM 18 vezető profil 3m matt fekete</v>
      </c>
      <c r="H784" s="1">
        <v>3000</v>
      </c>
      <c r="I784" s="1" t="str">
        <f>CONCATENATE(H784,"-",J17)</f>
        <v>3000-matt feket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3000-ezüst</v>
      </c>
      <c r="D785" s="49">
        <v>496368</v>
      </c>
      <c r="E785" s="48" t="str">
        <f>+VLOOKUP(A785,cennik!A:G,2,FALSE)</f>
        <v>SEVROLL 05794 GM 18 Maxim vezető profil 3m ezüst</v>
      </c>
      <c r="F785" s="48" t="str">
        <f>+VLOOKUP(A785,cennik!A:B,2,FALSE)</f>
        <v>SEVROLL 05794 GM 18 Maxim vezető profil 3m ezüst</v>
      </c>
      <c r="H785" s="1">
        <v>3000</v>
      </c>
      <c r="I785" s="1" t="str">
        <f>CONCATENATE(H785,"-",J4)</f>
        <v>3000-ezüst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4300-ezüst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4300-ezüst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6000-ezüst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6000-ezüst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1700-ezüst</v>
      </c>
      <c r="D788" s="49">
        <v>318657</v>
      </c>
      <c r="E788" s="48" t="str">
        <f>+VLOOKUP(A788,cennik!A:G,2,FALSE)</f>
        <v>SEVROLL 04302 takaró profil Elegant II 1,7m ezüst</v>
      </c>
      <c r="F788" s="48" t="str">
        <f>+VLOOKUP(A788,cennik!A:B,2,FALSE)</f>
        <v>SEVROLL 04302 takaró profil Elegant II 1,7m ezüst</v>
      </c>
      <c r="H788" s="1">
        <v>1700</v>
      </c>
      <c r="I788" s="1" t="str">
        <f>CONCATENATE(H788,"-",J4)</f>
        <v>1700-ezüst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2350-ezüst</v>
      </c>
      <c r="D789" s="49">
        <v>318660</v>
      </c>
      <c r="E789" s="48" t="str">
        <f>+VLOOKUP(A789,cennik!A:G,2,FALSE)</f>
        <v>SEVROLL  04303 takaró profil Elegant II 2,35m ezüst</v>
      </c>
      <c r="F789" s="48" t="str">
        <f>+VLOOKUP(A789,cennik!A:B,2,FALSE)</f>
        <v>SEVROLL  04303 takaró profil Elegant II 2,35m ezüst</v>
      </c>
      <c r="H789" s="1">
        <v>2350</v>
      </c>
      <c r="I789" s="1" t="str">
        <f>CONCATENATE(H789,"-",J4)</f>
        <v>2350-ezüst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3000-ezüst</v>
      </c>
      <c r="D790" s="49">
        <v>345408</v>
      </c>
      <c r="E790" s="48" t="str">
        <f>+VLOOKUP(A790,cennik!A:G,2,FALSE)</f>
        <v>SEVROLL 04304 takaró profil Elegant II 3m ezüst</v>
      </c>
      <c r="F790" s="48" t="str">
        <f>+VLOOKUP(A790,cennik!A:B,2,FALSE)</f>
        <v>SEVROLL 04304 takaró profil Elegant II 3m ezüst</v>
      </c>
      <c r="H790" s="1">
        <v>3000</v>
      </c>
      <c r="I790" s="1" t="str">
        <f>CONCATENATE(H790,"-",J4)</f>
        <v>3000-ezüst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4050-ezüst</v>
      </c>
      <c r="D791" s="49">
        <v>345776</v>
      </c>
      <c r="E791" s="48" t="str">
        <f>+VLOOKUP(A791,cennik!A:G,2,FALSE)</f>
        <v>SEVROLL 04305  takaró profil Elegant II 4,05m ezüst</v>
      </c>
      <c r="F791" s="48" t="str">
        <f>+VLOOKUP(A791,cennik!A:B,2,FALSE)</f>
        <v>SEVROLL 04305  takaró profil Elegant II 4,05m ezüst</v>
      </c>
      <c r="H791" s="1">
        <v>4050</v>
      </c>
      <c r="I791" s="1" t="str">
        <f>CONCATENATE(H791,"-",J4)</f>
        <v>4050-ezüst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6000-ezüst</v>
      </c>
      <c r="D792" s="49">
        <v>346118</v>
      </c>
      <c r="E792" s="48" t="str">
        <f>+VLOOKUP(A792,cennik!A:G,2,FALSE)</f>
        <v>SEVROLL  04307 takaró profil Elegant II 6m ezüst</v>
      </c>
      <c r="F792" s="48" t="str">
        <f>+VLOOKUP(A792,cennik!A:B,2,FALSE)</f>
        <v>SEVROLL  04307 takaró profil Elegant II 6m ezüst</v>
      </c>
      <c r="H792" s="165">
        <v>6000</v>
      </c>
      <c r="I792" s="1" t="str">
        <f>CONCATENATE(H792,"-",J4)</f>
        <v>6000-ezüst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1700-ezüst</v>
      </c>
      <c r="D793" s="49">
        <v>496369</v>
      </c>
      <c r="E793" s="48" t="str">
        <f>+VLOOKUP(A793,cennik!A:G,2,FALSE)</f>
        <v>SEVROLL 05798 GM 18 alsó takaró profil 1,7m 18mm ezüst</v>
      </c>
      <c r="F793" s="48" t="str">
        <f>+VLOOKUP(A793,cennik!A:B,2,FALSE)</f>
        <v>SEVROLL 05798 GM 18 alsó takaró profil 1,7m 18mm ezüst</v>
      </c>
      <c r="H793" s="1">
        <v>1700</v>
      </c>
      <c r="I793" s="1" t="str">
        <f>CONCATENATE(H793,"-",J4)</f>
        <v>1700-ezüst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2350-ezüst</v>
      </c>
      <c r="D794" s="49">
        <v>496370</v>
      </c>
      <c r="E794" s="48" t="str">
        <f>+VLOOKUP(A794,cennik!A:G,2,FALSE)</f>
        <v>SEVROLL 05799 GM 18 alsó takaró profil 2,35m 18mm ezüst</v>
      </c>
      <c r="F794" s="48" t="str">
        <f>+VLOOKUP(A794,cennik!A:B,2,FALSE)</f>
        <v>SEVROLL 05799 GM 18 alsó takaró profil 2,35m 18mm ezüst</v>
      </c>
      <c r="H794" s="1">
        <v>2350</v>
      </c>
      <c r="I794" s="1" t="str">
        <f>CONCATENATE(H794,"-",J4)</f>
        <v>2350-ezüst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alsó takaró profil 1,7m 18mm oliva</v>
      </c>
      <c r="F795" s="48" t="str">
        <f>+VLOOKUP(A795,cennik!A:B,2,FALSE)</f>
        <v>SEVROLL 05801 GM 18 alsó takaró profil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alsó takaró profil 2,35m 18mm oliva</v>
      </c>
      <c r="F796" s="48" t="str">
        <f>+VLOOKUP(A796,cennik!A:B,2,FALSE)</f>
        <v>SEVROLL 05913 GM 18 alsó takaró profil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alsó takaró profil 3m 18mm oliva</v>
      </c>
      <c r="F797" s="48" t="str">
        <f>+VLOOKUP(A797,cennik!A:B,2,FALSE)</f>
        <v>SEVROLL 05803 GM 18 alsó takaró profil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1700-matt feket</v>
      </c>
      <c r="D798" s="49">
        <v>496952</v>
      </c>
      <c r="E798" s="48" t="str">
        <f>+VLOOKUP(A798,cennik!A:G,2,FALSE)</f>
        <v>SEVROLL 05912 GM 18 alsó takaró profil 1,7m 18mm matt fekete</v>
      </c>
      <c r="F798" s="48" t="str">
        <f>+VLOOKUP(A798,cennik!A:B,2,FALSE)</f>
        <v>SEVROLL 05912 GM 18 alsó takaró profil 1,7m 18mm matt fekete</v>
      </c>
      <c r="H798" s="1">
        <v>1700</v>
      </c>
      <c r="I798" s="1" t="str">
        <f>CONCATENATE(H798,"-",J17)</f>
        <v>1700-matt feket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2350-matt feket</v>
      </c>
      <c r="D799" s="49">
        <v>496955</v>
      </c>
      <c r="E799" s="48" t="str">
        <f>+VLOOKUP(A799,cennik!A:G,2,FALSE)</f>
        <v>SEVROLL 05913 GM 18 alsó takaró profil 2,35m 18mm matt fekete</v>
      </c>
      <c r="F799" s="48" t="str">
        <f>+VLOOKUP(A799,cennik!A:B,2,FALSE)</f>
        <v>SEVROLL 05913 GM 18 alsó takaró profil 2,35m 18mm matt fekete</v>
      </c>
      <c r="H799" s="1">
        <v>2350</v>
      </c>
      <c r="I799" s="1" t="str">
        <f>CONCATENATE(H799,"-",J17)</f>
        <v>2350-matt feket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3000-matt feket</v>
      </c>
      <c r="D800" s="49">
        <v>496957</v>
      </c>
      <c r="E800" s="48" t="str">
        <f>+VLOOKUP(A800,cennik!A:G,2,FALSE)</f>
        <v>SEVROLL 05803 GM 18 alsó takaró profil 3m 18mm matt fekete</v>
      </c>
      <c r="F800" s="48" t="str">
        <f>+VLOOKUP(A800,cennik!A:B,2,FALSE)</f>
        <v>SEVROLL 05803 GM 18 alsó takaró profil 3m 18mm matt fekete</v>
      </c>
      <c r="H800" s="1">
        <v>3000</v>
      </c>
      <c r="I800" s="1" t="str">
        <f>CONCATENATE(H800,"-",J17)</f>
        <v>3000-matt feket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3000-ezüst</v>
      </c>
      <c r="D801" s="49">
        <v>496371</v>
      </c>
      <c r="E801" s="48" t="str">
        <f>+VLOOKUP(A801,cennik!A:G,2,FALSE)</f>
        <v>SEVROLL 05800 GM 18 alsó takaró profil 3m 18mm ezüst</v>
      </c>
      <c r="F801" s="48" t="str">
        <f>+VLOOKUP(A801,cennik!A:B,2,FALSE)</f>
        <v>SEVROLL 05800 GM 18 alsó takaró profil 3m 18mm ezüst</v>
      </c>
      <c r="H801" s="1">
        <v>3000</v>
      </c>
      <c r="I801" s="1" t="str">
        <f>CONCATENATE(H801,"-",J4)</f>
        <v>3000-ezüst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4300-ezüst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4300-ezüst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6000-ezüst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6000-ezüst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felső görgő 18mm - 2db</v>
      </c>
      <c r="F804" s="48" t="str">
        <f>+VLOOKUP(A804,cennik!A:B,2,FALSE)</f>
        <v>SEVROLL 05691 GM 18 felső görgő 18mm - 2db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ezüst</v>
      </c>
      <c r="D805" s="49">
        <v>489292</v>
      </c>
      <c r="E805" s="48" t="str">
        <f>+VLOOKUP(A805,cennik!A:G,2,FALSE)</f>
        <v>SEVROLL 05788 Arte GM 18 fogókorlát 2,7m ezüst</v>
      </c>
      <c r="F805" s="48" t="str">
        <f>+VLOOKUP(A805,cennik!A:B,2,FALSE)</f>
        <v>SEVROLL 05788 Arte GM 18 fogókorlát 2,7m ezüst</v>
      </c>
      <c r="H805" s="165"/>
      <c r="I805" s="1" t="str">
        <f>J4</f>
        <v>ezüst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ezüst</v>
      </c>
      <c r="D806" s="49">
        <v>143983</v>
      </c>
      <c r="E806" s="48" t="str">
        <f>+VLOOKUP(A806,cennik!A:G,2,FALSE)</f>
        <v>SEVROLL 02777 Ergo fogantyú profil 2,7m ezüst</v>
      </c>
      <c r="F806" s="48" t="str">
        <f>+VLOOKUP(A806,cennik!A:B,2,FALSE)</f>
        <v>SEVROLL 02777 Ergo fogantyú profil 2,7m ezüst</v>
      </c>
      <c r="I806" s="1" t="str">
        <f>J4</f>
        <v>ezüst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fogantyú profil 2,7m oliva</v>
      </c>
      <c r="F807" s="48" t="str">
        <f>+VLOOKUP(A807,cennik!A:B,2,FALSE)</f>
        <v>SEVROLL 02776 Ergo fogantyú profil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ezüst</v>
      </c>
      <c r="D808" s="49">
        <v>179196</v>
      </c>
      <c r="E808" s="48" t="str">
        <f>+VLOOKUP(A808,cennik!A:G,2,FALSE)</f>
        <v>SEVROLL 04552 Faworyt II fogantyú profil 2,7m ezüst</v>
      </c>
      <c r="F808" s="48" t="str">
        <f>+VLOOKUP(A808,cennik!A:B,2,FALSE)</f>
        <v>SEVROLL 04552 Faworyt II fogantyú profil 2,7m ezüst</v>
      </c>
      <c r="I808" s="1" t="str">
        <f>J4</f>
        <v>ezüst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matt feket</v>
      </c>
      <c r="D809" s="1">
        <v>452601</v>
      </c>
      <c r="E809" s="48" t="str">
        <f>+VLOOKUP(A809,cennik!A:G,2,FALSE)</f>
        <v>SEVROLL 05306 Faworyt II fogantyú profil 2,7m matt fekete</v>
      </c>
      <c r="F809" s="48" t="str">
        <f>+VLOOKUP(A809,cennik!A:B,2,FALSE)</f>
        <v>SEVROLL 05306 Faworyt II fogantyú profil 2,7m matt fekete</v>
      </c>
      <c r="I809" s="1" t="str">
        <f>J17</f>
        <v>matt feket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matt fehér</v>
      </c>
      <c r="D810" s="436">
        <v>276742</v>
      </c>
      <c r="E810" s="48" t="str">
        <f>+VLOOKUP(A810,cennik!A:G,2,FALSE)</f>
        <v>SEVROLL 04556 Faworyt II fogantyú profil 2,7m matt fehér</v>
      </c>
      <c r="F810" s="48" t="str">
        <f>+VLOOKUP(A810,cennik!A:B,2,FALSE)</f>
        <v>SEVROLL 04556 Faworyt II fogantyú profil 2,7m matt fehér</v>
      </c>
      <c r="G810" s="437"/>
      <c r="H810" s="437"/>
      <c r="I810" s="1" t="str">
        <f>J18</f>
        <v>matt fehér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Faworyt II fogantyú profil 2,7m oliva</v>
      </c>
      <c r="F811" s="48" t="str">
        <f>+VLOOKUP(A811,cennik!A:B,2,FALSE)</f>
        <v>SEVROLL Faworyt II fogantyú profil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fehér fényes</v>
      </c>
      <c r="D812" s="49">
        <v>252569</v>
      </c>
      <c r="E812" s="48" t="str">
        <f>+VLOOKUP(A812,cennik!A:G,2,FALSE)</f>
        <v>SEVROLL 04554 Faworyt II fogantyú profil 2,7m fényes fehér</v>
      </c>
      <c r="F812" s="48" t="str">
        <f>+VLOOKUP(A812,cennik!A:B,2,FALSE)</f>
        <v>SEVROLL 04554 Faworyt II fogantyú profil 2,7m fényes fehér</v>
      </c>
      <c r="I812" s="1" t="str">
        <f>J15</f>
        <v>fehér fényes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ezüst</v>
      </c>
      <c r="D813" s="49">
        <v>135552</v>
      </c>
      <c r="E813" s="48" t="str">
        <f>+VLOOKUP(A813,cennik!A:G,2,FALSE)</f>
        <v>SEVROLL 02742 Minicomfort II fogantyú profil 2,7m ezüst</v>
      </c>
      <c r="F813" s="48" t="str">
        <f>+VLOOKUP(A813,cennik!A:B,2,FALSE)</f>
        <v>SEVROLL 02742 Minicomfort II fogantyú profil 2,7m ezüst</v>
      </c>
      <c r="I813" s="1" t="str">
        <f>J4</f>
        <v>ezüst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Minicomfort II fogantyú profil 2,7m oliva</v>
      </c>
      <c r="F814" s="48" t="str">
        <f>+VLOOKUP(A814,cennik!A:B,2,FALSE)</f>
        <v>SEVROLL Minicomfort II fogantyú profil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ezüst</v>
      </c>
      <c r="D815" s="49">
        <v>135555</v>
      </c>
      <c r="E815" s="48" t="str">
        <f>+VLOOKUP(A815,cennik!A:G,2,FALSE)</f>
        <v>SEVROLL 02723 Comfort 18 II fogantyú profil 2,7m ezüst</v>
      </c>
      <c r="F815" s="48" t="str">
        <f>+VLOOKUP(A815,cennik!A:B,2,FALSE)</f>
        <v>SEVROLL 02723 Comfort 18 II fogantyú profil 2,7m ezüst</v>
      </c>
      <c r="I815" s="1" t="str">
        <f>J4</f>
        <v>ezüst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Comfort 18 II fogantyú profil 2,7m oliva</v>
      </c>
      <c r="F816" s="48" t="str">
        <f>+VLOOKUP(A816,cennik!A:B,2,FALSE)</f>
        <v>SEVROLL Comfort 18 II fogantyú profil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ezüst</v>
      </c>
      <c r="D817" s="49">
        <v>135684</v>
      </c>
      <c r="E817" s="48" t="str">
        <f>+VLOOKUP(A817,cennik!A:G,2,FALSE)</f>
        <v>SEVROLL 02728 Unicomfort II fogantyú profil 2,7m ezüst</v>
      </c>
      <c r="F817" s="48" t="str">
        <f>+VLOOKUP(A817,cennik!A:B,2,FALSE)</f>
        <v>SEVROLL 02728 Unicomfort II fogantyú profil 2,7m ezüst</v>
      </c>
      <c r="I817" s="1" t="str">
        <f>J4</f>
        <v>ezüst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Unicomfort II fogantyú profil 2,7m oliva</v>
      </c>
      <c r="F818" s="48" t="str">
        <f>+VLOOKUP(A818,cennik!A:B,2,FALSE)</f>
        <v>SEVROLL Unicomfort II fogantyú profil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ezüst</v>
      </c>
      <c r="D819" s="14">
        <v>233428</v>
      </c>
      <c r="E819" s="48" t="str">
        <f>+VLOOKUP(A819,cennik!A:G,2,FALSE)</f>
        <v>Sevroll 85003 Fiona II fogantyú profil 2,7m ezüst</v>
      </c>
      <c r="F819" s="48" t="str">
        <f>+VLOOKUP(A819,cennik!A:B,2,FALSE)</f>
        <v>Sevroll 85003 Fiona II fogantyú profil 2,7m ezüst</v>
      </c>
      <c r="G819" s="152"/>
      <c r="H819" s="152"/>
      <c r="I819" s="152" t="str">
        <f>J4</f>
        <v>ezüst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ezüst</v>
      </c>
      <c r="D820" s="49">
        <v>98002</v>
      </c>
      <c r="E820" s="48" t="str">
        <f>+VLOOKUP(A820,cennik!A:G,2,FALSE)</f>
        <v>Sevroll (Astin) Orient fogantyú profil 2,7m ezüst (32/1)</v>
      </c>
      <c r="F820" s="48" t="str">
        <f>+VLOOKUP(A820,cennik!A:B,2,FALSE)</f>
        <v>Sevroll (Astin) Orient fogantyú profil 2,7m ezüst (32/1)</v>
      </c>
      <c r="G820" s="152"/>
      <c r="H820" s="152"/>
      <c r="I820" s="152" t="str">
        <f>J4</f>
        <v>ezüst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ezüst</v>
      </c>
      <c r="D821" s="49">
        <v>98001</v>
      </c>
      <c r="E821" s="48" t="str">
        <f>+VLOOKUP(A821,cennik!A:G,2,FALSE)</f>
        <v>Sevroll (Astin) Elegant fogantyú profil 2,7m ezüst (22/1)</v>
      </c>
      <c r="F821" s="48" t="str">
        <f>+VLOOKUP(A821,cennik!A:B,2,FALSE)</f>
        <v>Sevroll (Astin) Elegant fogantyú profil 2,7m ezüst (22/1)</v>
      </c>
      <c r="G821" s="152"/>
      <c r="H821" s="152"/>
      <c r="I821" s="152" t="str">
        <f>J4</f>
        <v>ezüst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1800-ezüst</v>
      </c>
      <c r="D822" s="49">
        <v>98003</v>
      </c>
      <c r="E822" s="48" t="str">
        <f>+VLOOKUP(A822,cennik!A:G,2,FALSE)</f>
        <v>Sevroll (Astin) felső vezetés 1,8m ezüst (32/1)</v>
      </c>
      <c r="F822" s="48" t="str">
        <f>+VLOOKUP(A822,cennik!A:B,2,FALSE)</f>
        <v>Sevroll (Astin) felső vezetés 1,8m ezüst (32/1)</v>
      </c>
      <c r="G822" s="152"/>
      <c r="H822" s="152">
        <v>1800</v>
      </c>
      <c r="I822" s="152" t="str">
        <f>CONCATENATE(H822,"-",J4)</f>
        <v>1800-ezüst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2700-ezüst</v>
      </c>
      <c r="D823" s="49">
        <v>98004</v>
      </c>
      <c r="E823" s="48" t="str">
        <f>+VLOOKUP(A823,cennik!A:G,2,FALSE)</f>
        <v>Sevroll (Astin) felső vezetés 2,7m ezüst (32/1)</v>
      </c>
      <c r="F823" s="48" t="str">
        <f>+VLOOKUP(A823,cennik!A:B,2,FALSE)</f>
        <v>Sevroll (Astin) felső vezetés 2,7m ezüst (32/1)</v>
      </c>
      <c r="G823" s="152"/>
      <c r="H823" s="152">
        <v>2700</v>
      </c>
      <c r="I823" s="152" t="str">
        <f>CONCATENATE(H823,"-",J4)</f>
        <v>2700-ezüst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3600-ezüst</v>
      </c>
      <c r="D824" s="49">
        <v>98005</v>
      </c>
      <c r="E824" s="48" t="str">
        <f>+VLOOKUP(A824,cennik!A:G,2,FALSE)</f>
        <v>Sevroll (Astin) felső vezetés 3,6m ezüst (32/1)</v>
      </c>
      <c r="F824" s="48" t="str">
        <f>+VLOOKUP(A824,cennik!A:B,2,FALSE)</f>
        <v>Sevroll (Astin) felső vezetés 3,6m ezüst (32/1)</v>
      </c>
      <c r="G824" s="152"/>
      <c r="H824" s="152">
        <v>3600</v>
      </c>
      <c r="I824" s="152" t="str">
        <f>CONCATENATE(H824,"-",J4)</f>
        <v>3600-ezüst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1800-ezüst</v>
      </c>
      <c r="D825" s="49">
        <v>98007</v>
      </c>
      <c r="E825" s="48" t="str">
        <f>+VLOOKUP(A825,cennik!A:G,2,FALSE)</f>
        <v>Sevroll (Astin) alsó vezetés 1,8m ezüst (22/1)</v>
      </c>
      <c r="F825" s="48" t="str">
        <f>+VLOOKUP(A825,cennik!A:B,2,FALSE)</f>
        <v>Sevroll (Astin) alsó vezetés 1,8m ezüst (22/1)</v>
      </c>
      <c r="G825" s="152"/>
      <c r="H825" s="152">
        <v>1800</v>
      </c>
      <c r="I825" s="152" t="str">
        <f>CONCATENATE(H825,"-",J4)</f>
        <v>1800-ezüst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2700-ezüst</v>
      </c>
      <c r="D826" s="49">
        <v>98008</v>
      </c>
      <c r="E826" s="48" t="str">
        <f>+VLOOKUP(A826,cennik!A:G,2,FALSE)</f>
        <v>Sevroll (Astin) alsó vezetés 2,7m ezüst (22/1)</v>
      </c>
      <c r="F826" s="48" t="str">
        <f>+VLOOKUP(A826,cennik!A:B,2,FALSE)</f>
        <v>Sevroll (Astin) alsó vezetés 2,7m ezüst (22/1)</v>
      </c>
      <c r="G826" s="152"/>
      <c r="H826" s="152">
        <v>2700</v>
      </c>
      <c r="I826" s="152" t="str">
        <f>CONCATENATE(H826,"-",J4)</f>
        <v>2700-ezüst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3600-ezüst</v>
      </c>
      <c r="D827" s="49">
        <v>98009</v>
      </c>
      <c r="E827" s="48" t="str">
        <f>+VLOOKUP(A827,cennik!A:G,2,FALSE)</f>
        <v>Sevroll (Astin) alsó vezetés 3,6m ezüst (22/1)</v>
      </c>
      <c r="F827" s="48" t="str">
        <f>+VLOOKUP(A827,cennik!A:B,2,FALSE)</f>
        <v>Sevroll (Astin) alsó vezetés 3,6m ezüst (22/1)</v>
      </c>
      <c r="G827" s="152"/>
      <c r="H827" s="152">
        <v>3600</v>
      </c>
      <c r="I827" s="152" t="str">
        <f>CONCATENATE(H827,"-",J4)</f>
        <v>3600-ezüst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1800-ezüst</v>
      </c>
      <c r="D828" s="49">
        <v>98011</v>
      </c>
      <c r="E828" s="48" t="str">
        <f>+VLOOKUP(A828,cennik!A:G,2,FALSE)</f>
        <v>Sevroll (Astin) szögletvas 1,8m ezüst (22/1)</v>
      </c>
      <c r="F828" s="48" t="str">
        <f>+VLOOKUP(A828,cennik!A:B,2,FALSE)</f>
        <v>Sevroll (Astin) szögletvas 1,8m ezüst (22/1)</v>
      </c>
      <c r="G828" s="152"/>
      <c r="H828" s="152">
        <v>1800</v>
      </c>
      <c r="I828" s="152" t="str">
        <f>CONCATENATE(H828,"-",J4)</f>
        <v>1800-ezüst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2700-ezüst</v>
      </c>
      <c r="D829" s="49">
        <v>98012</v>
      </c>
      <c r="E829" s="48" t="str">
        <f>+VLOOKUP(A829,cennik!A:G,2,FALSE)</f>
        <v>Sevroll (Astin) szögletvas 2,7m ezüst (22/1)</v>
      </c>
      <c r="F829" s="48" t="str">
        <f>+VLOOKUP(A829,cennik!A:B,2,FALSE)</f>
        <v>Sevroll (Astin) szögletvas 2,7m ezüst (22/1)</v>
      </c>
      <c r="G829" s="152"/>
      <c r="H829" s="152">
        <v>2700</v>
      </c>
      <c r="I829" s="152" t="str">
        <f>CONCATENATE(H829,"-",J4)</f>
        <v>2700-ezüst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3600-ezüst</v>
      </c>
      <c r="D830" s="49">
        <v>98013</v>
      </c>
      <c r="E830" s="48" t="str">
        <f>+VLOOKUP(A830,cennik!A:G,2,FALSE)</f>
        <v>Sevroll (Astin) szögletvas 3,6m ezüst (22/1)</v>
      </c>
      <c r="F830" s="48" t="str">
        <f>+VLOOKUP(A830,cennik!A:B,2,FALSE)</f>
        <v>Sevroll (Astin) szögletvas 3,6m ezüst (22/1)</v>
      </c>
      <c r="G830" s="152"/>
      <c r="H830" s="152">
        <v>3600</v>
      </c>
      <c r="I830" s="152" t="str">
        <f>CONCATENATE(H830,"-",J4)</f>
        <v>3600-ezüst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ezüst</v>
      </c>
      <c r="D831" s="49">
        <v>98015</v>
      </c>
      <c r="E831" s="48" t="str">
        <f>+VLOOKUP(A831,cennik!A:G,2,FALSE)</f>
        <v>Sevroll (Astin) összekötő H08 profil 3m ezüst</v>
      </c>
      <c r="F831" s="48" t="str">
        <f>+VLOOKUP(A831,cennik!A:B,2,FALSE)</f>
        <v>Sevroll (Astin) összekötő H08 profil 3m ezüst</v>
      </c>
      <c r="G831" s="152"/>
      <c r="H831" s="152"/>
      <c r="I831" s="152" t="str">
        <f>J4</f>
        <v>ezüst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ezüst</v>
      </c>
      <c r="D832" s="49">
        <v>213609</v>
      </c>
      <c r="E832" s="48" t="str">
        <f>+VLOOKUP(A832,cennik!A:G,2,FALSE)</f>
        <v>SEVROLL 01980 Hide M alsó vezetés 3m ezüst</v>
      </c>
      <c r="F832" s="48" t="str">
        <f>+VLOOKUP(A832,cennik!A:B,2,FALSE)</f>
        <v>SEVROLL 01980 Hide M alsó vezetés 3m ezüst</v>
      </c>
      <c r="G832" s="1"/>
      <c r="H832" s="1">
        <v>3000</v>
      </c>
      <c r="I832" s="152" t="str">
        <f>CONCATENATE(H832,"-",J4)</f>
        <v>3000-ezüst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ezüst</v>
      </c>
      <c r="D833" s="49">
        <v>197753</v>
      </c>
      <c r="E833" s="48" t="str">
        <f>+VLOOKUP(A833,cennik!A:G,2,FALSE)</f>
        <v>SEVROLL02581  Hide N alsó vezetés 3m ezüst</v>
      </c>
      <c r="F833" s="48" t="str">
        <f>+VLOOKUP(A833,cennik!A:B,2,FALSE)</f>
        <v>SEVROLL02581  Hide N alsó vezetés 3m ezüst</v>
      </c>
      <c r="G833" s="1"/>
      <c r="H833" s="1">
        <v>3000</v>
      </c>
      <c r="I833" s="152" t="str">
        <f>CONCATENATE(H833,"-",J4)</f>
        <v>3000-ezüst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alsó vezetés 3m oliva</v>
      </c>
      <c r="F834" s="48" t="str">
        <f>+VLOOKUP(A834,cennik!A:B,2,FALSE)</f>
        <v>SEVROLL Hide M alsó vezetés 3m oliva</v>
      </c>
      <c r="G834" s="1"/>
      <c r="H834" s="1">
        <v>3000</v>
      </c>
      <c r="I834" s="152" t="str">
        <f>CONCATENATE(H834,"-",J4)</f>
        <v>3000-ezüst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Hide N alsó sín 3m oliva</v>
      </c>
      <c r="F835" s="48" t="str">
        <f>+VLOOKUP(A835,cennik!A:B,2,FALSE)</f>
        <v>SEVROLL Hide N alsó sín 3m oliva</v>
      </c>
      <c r="G835" s="1"/>
      <c r="H835" s="1">
        <v>3000</v>
      </c>
      <c r="I835" s="152" t="str">
        <f>CONCATENATE(H835,"-",J4)</f>
        <v>3000-ezüst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alsó vezetés 6m oliva</v>
      </c>
      <c r="F836" s="48" t="str">
        <f>+VLOOKUP(A836,cennik!A:B,2,FALSE)</f>
        <v>SEVROLL Hide N alsó vezetés 6m oliva</v>
      </c>
      <c r="G836" s="1"/>
      <c r="H836" s="1">
        <v>6000</v>
      </c>
      <c r="I836" s="152" t="str">
        <f>CONCATENATE(H836,"-",J4)</f>
        <v>6000-ezüst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végzáró Hide N profilhoz ezüst</v>
      </c>
      <c r="F837" s="48" t="str">
        <f>+VLOOKUP(A837,cennik!A:B,2,FALSE)</f>
        <v>SEVROLL 20208 végzáró Hide N profilhoz ezüst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fék Hide N és M profilhoz</v>
      </c>
      <c r="F838" s="48" t="str">
        <f>+VLOOKUP(A838,cennik!A:B,2,FALSE)</f>
        <v>SEVROLL 20208 fék Hide N és M profilhoz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14,5-ezüst</v>
      </c>
      <c r="D839" s="421">
        <v>98067</v>
      </c>
      <c r="E839" s="419" t="str">
        <f>+VLOOKUP(A839,cennik!A:G,2,FALSE)</f>
        <v>SEVROLL támfalas kefe becsúsztatható 14x4mm szürke</v>
      </c>
      <c r="F839" s="419" t="str">
        <f>+VLOOKUP(A839,cennik!A:B,2,FALSE)</f>
        <v>SEVROLL támfalas kefe becsúsztatható 14x4mm szürke</v>
      </c>
      <c r="H839" s="417">
        <v>14.5</v>
      </c>
      <c r="I839" s="420" t="str">
        <f>CONCATENATE(N826,"-",J4)</f>
        <v>-ezüst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14,5-matt fehér</v>
      </c>
      <c r="D840" s="421">
        <v>306523</v>
      </c>
      <c r="E840" s="419" t="str">
        <f>+VLOOKUP(A840,cennik!A:G,2,FALSE)</f>
        <v>SEVROLL 20288-SV támfalas kefe becsúsztatható 14x4mm fehér</v>
      </c>
      <c r="F840" s="419" t="str">
        <f>+VLOOKUP(A840,cennik!A:B,2,FALSE)</f>
        <v>SEVROLL 20288-SV támfalas kefe becsúsztatható 14x4mm fehér</v>
      </c>
      <c r="H840" s="417">
        <v>14.5</v>
      </c>
      <c r="I840" s="417" t="str">
        <f>J18</f>
        <v>matt fehér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14,5-fehér fényes</v>
      </c>
      <c r="D841" s="421">
        <v>306523</v>
      </c>
      <c r="E841" s="419" t="str">
        <f>+VLOOKUP(A841,cennik!A:G,2,FALSE)</f>
        <v>SEVROLL 20288-SV támfalas kefe becsúsztatható 14x4mm fehér</v>
      </c>
      <c r="F841" s="419" t="str">
        <f>+VLOOKUP(A841,cennik!A:B,2,FALSE)</f>
        <v>SEVROLL 20288-SV támfalas kefe becsúsztatható 14x4mm fehér</v>
      </c>
      <c r="H841" s="417">
        <v>14.5</v>
      </c>
      <c r="I841" s="417" t="str">
        <f>J15</f>
        <v>fehér fényes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14,5-arany/sárgaréz</v>
      </c>
      <c r="D842" s="421">
        <v>98067</v>
      </c>
      <c r="E842" s="419" t="str">
        <f>+VLOOKUP(A842,cennik!A:G,2,FALSE)</f>
        <v>SEVROLL támfalas kefe becsúsztatható 14x4mm szürke</v>
      </c>
      <c r="F842" s="419" t="str">
        <f>+VLOOKUP(A842,cennik!A:B,2,FALSE)</f>
        <v>SEVROLL támfalas kefe becsúsztatható 14x4mm szürke</v>
      </c>
      <c r="H842" s="417">
        <v>14.5</v>
      </c>
      <c r="I842" s="420" t="str">
        <f>CONCATENATE(N828,"-",J5)</f>
        <v>-arany/sárgaréz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támfalas kefe becsúsztatható 14x4mm szürke</v>
      </c>
      <c r="F843" s="419" t="str">
        <f>+VLOOKUP(A843,cennik!A:B,2,FALSE)</f>
        <v>SEVROLL támfalas kefe becsúsztatható 14x4mm szürke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14,5-kefélt oliva</v>
      </c>
      <c r="D844" s="421">
        <v>98067</v>
      </c>
      <c r="E844" s="419" t="str">
        <f>+VLOOKUP(A844,cennik!A:G,2,FALSE)</f>
        <v>SEVROLL támfalas kefe becsúsztatható 14x4mm szürke</v>
      </c>
      <c r="F844" s="419" t="str">
        <f>+VLOOKUP(A844,cennik!A:B,2,FALSE)</f>
        <v>SEVROLL támfalas kefe becsúsztatható 14x4mm szürke</v>
      </c>
      <c r="H844" s="417">
        <v>14.5</v>
      </c>
      <c r="I844" s="420" t="str">
        <f>CONCATENATE(N830,"-",J7)</f>
        <v>-kefélt oliva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14,5-szálcsi.oliva sö.</v>
      </c>
      <c r="D845" s="421">
        <v>98067</v>
      </c>
      <c r="E845" s="419" t="str">
        <f>+VLOOKUP(A845,cennik!A:G,2,FALSE)</f>
        <v>SEVROLL támfalas kefe becsúsztatható 14x4mm szürke</v>
      </c>
      <c r="F845" s="419" t="str">
        <f>+VLOOKUP(A845,cennik!A:B,2,FALSE)</f>
        <v>SEVROLL támfalas kefe becsúsztatható 14x4mm szürke</v>
      </c>
      <c r="G845" s="417"/>
      <c r="H845" s="417">
        <v>14.5</v>
      </c>
      <c r="I845" s="420" t="str">
        <f>CONCATENATE(N831,"-",J8)</f>
        <v>-szálcsi.oliva sö.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14,5-szálcsi.fekete</v>
      </c>
      <c r="D846" s="423">
        <v>409700</v>
      </c>
      <c r="E846" s="419" t="str">
        <f>+VLOOKUP(A846,cennik!A:G,2,FALSE)</f>
        <v>SEVROLL 20334-SV támfalas kefe becsúsztatható 14x4mm fekete</v>
      </c>
      <c r="F846" s="419" t="str">
        <f>+VLOOKUP(A846,cennik!A:B,2,FALSE)</f>
        <v>SEVROLL 20334-SV támfalas kefe becsúsztatható 14x4mm fekete</v>
      </c>
      <c r="G846" s="417"/>
      <c r="H846" s="417">
        <v>14.5</v>
      </c>
      <c r="I846" s="420" t="str">
        <f>CONCATENATE(N832,"-",J9)</f>
        <v>-szálcsi.fekete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4,8-ezüst</v>
      </c>
      <c r="D847" s="421">
        <v>229433</v>
      </c>
      <c r="E847" s="419" t="str">
        <f>+VLOOKUP(A847,cennik!A:G,2,FALSE)</f>
        <v>SEVROLL támfalas kefe becsúsztatható 4,8x4mm szürke</v>
      </c>
      <c r="F847" s="419" t="str">
        <f>+VLOOKUP(A847,cennik!A:B,2,FALSE)</f>
        <v>SEVROLL támfalas kefe becsúsztatható 4,8x4mm szürke</v>
      </c>
      <c r="G847" s="417"/>
      <c r="H847" s="417">
        <v>4.8</v>
      </c>
      <c r="I847" s="420" t="str">
        <f t="shared" ref="I847:I852" si="20">CONCATENATE(N833,"-",J4)</f>
        <v>-ezüst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4,8-arany/sárgaréz</v>
      </c>
      <c r="D848" s="421">
        <v>229433</v>
      </c>
      <c r="E848" s="419" t="str">
        <f>+VLOOKUP(A848,cennik!A:G,2,FALSE)</f>
        <v>SEVROLL támfalas kefe becsúsztatható 4,8x4mm szürke</v>
      </c>
      <c r="F848" s="419" t="str">
        <f>+VLOOKUP(A848,cennik!A:B,2,FALSE)</f>
        <v>SEVROLL támfalas kefe becsúsztatható 4,8x4mm szürke</v>
      </c>
      <c r="G848" s="417"/>
      <c r="H848" s="417">
        <v>4.8</v>
      </c>
      <c r="I848" s="420" t="str">
        <f t="shared" si="20"/>
        <v>-arany/sárgaréz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támfalas kefe becsúsztatható 4,8x4mm szürke</v>
      </c>
      <c r="F849" s="419" t="str">
        <f>+VLOOKUP(A849,cennik!A:B,2,FALSE)</f>
        <v>SEVROLL támfalas kefe becsúsztatható 4,8x4mm szürke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4,8-kefélt oliva</v>
      </c>
      <c r="D850" s="421">
        <v>229433</v>
      </c>
      <c r="E850" s="419" t="str">
        <f>+VLOOKUP(A850,cennik!A:G,2,FALSE)</f>
        <v>SEVROLL támfalas kefe becsúsztatható 4,8x4mm szürke</v>
      </c>
      <c r="F850" s="419" t="str">
        <f>+VLOOKUP(A850,cennik!A:B,2,FALSE)</f>
        <v>SEVROLL támfalas kefe becsúsztatható 4,8x4mm szürke</v>
      </c>
      <c r="G850" s="417"/>
      <c r="H850" s="417">
        <v>4.8</v>
      </c>
      <c r="I850" s="420" t="str">
        <f t="shared" si="20"/>
        <v>-kefélt oliva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4,8-szálcsi.oliva sö.</v>
      </c>
      <c r="D851" s="421">
        <v>229433</v>
      </c>
      <c r="E851" s="419" t="str">
        <f>+VLOOKUP(A851,cennik!A:G,2,FALSE)</f>
        <v>SEVROLL támfalas kefe becsúsztatható 4,8x4mm szürke</v>
      </c>
      <c r="F851" s="419" t="str">
        <f>+VLOOKUP(A851,cennik!A:B,2,FALSE)</f>
        <v>SEVROLL támfalas kefe becsúsztatható 4,8x4mm szürke</v>
      </c>
      <c r="G851" s="417"/>
      <c r="H851" s="417">
        <v>4.8</v>
      </c>
      <c r="I851" s="420" t="str">
        <f t="shared" si="20"/>
        <v>-szálcsi.oliva sö.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4,8-szálcsi.fekete</v>
      </c>
      <c r="D852" s="424">
        <v>409699</v>
      </c>
      <c r="E852" s="419" t="str">
        <f>+VLOOKUP(A852,cennik!A:G,2,FALSE)</f>
        <v>SEVROLL 20403-SV támfalas kefe becsúsztatható 4,8x4mm fekete</v>
      </c>
      <c r="F852" s="419" t="str">
        <f>+VLOOKUP(A852,cennik!A:B,2,FALSE)</f>
        <v>SEVROLL 20403-SV támfalas kefe becsúsztatható 4,8x4mm fekete</v>
      </c>
      <c r="G852" s="417"/>
      <c r="H852" s="417">
        <v>4.8</v>
      </c>
      <c r="I852" s="420" t="str">
        <f t="shared" si="20"/>
        <v>-szálcsi.fekete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4,8-fehér fényes</v>
      </c>
      <c r="D853" s="421">
        <v>305137</v>
      </c>
      <c r="E853" s="419" t="str">
        <f>+VLOOKUP(A853,cennik!A:G,2,FALSE)</f>
        <v>SEVROLL 20287-SV támfalas kefe becsúsztatható 4,8x4mm fehér</v>
      </c>
      <c r="F853" s="419" t="str">
        <f>+VLOOKUP(A853,cennik!A:B,2,FALSE)</f>
        <v>SEVROLL 20287-SV támfalas kefe becsúsztatható 4,8x4mm fehér</v>
      </c>
      <c r="G853" s="417"/>
      <c r="H853" s="417">
        <v>4.8</v>
      </c>
      <c r="I853" s="417" t="str">
        <f>J15</f>
        <v>fehér fényes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4,8-matt fehér</v>
      </c>
      <c r="D854" s="421">
        <v>305137</v>
      </c>
      <c r="E854" s="419" t="str">
        <f>+VLOOKUP(A854,cennik!A:G,2,FALSE)</f>
        <v>SEVROLL 20287-SV támfalas kefe becsúsztatható 4,8x4mm fehér</v>
      </c>
      <c r="F854" s="419" t="str">
        <f>+VLOOKUP(A854,cennik!A:B,2,FALSE)</f>
        <v>SEVROLL 20287-SV támfalas kefe becsúsztatható 4,8x4mm fehér</v>
      </c>
      <c r="G854" s="417"/>
      <c r="H854" s="417">
        <v>4.8</v>
      </c>
      <c r="I854" s="417" t="str">
        <f>J18</f>
        <v>matt fehér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14,5-fényes fekete</v>
      </c>
      <c r="D855" s="423">
        <v>409700</v>
      </c>
      <c r="E855" s="419" t="str">
        <f>+VLOOKUP(A855,cennik!A:G,2,FALSE)</f>
        <v>SEVROLL 20334-SV támfalas kefe becsúsztatható 14x4mm fekete</v>
      </c>
      <c r="F855" s="419" t="str">
        <f>+VLOOKUP(A855,cennik!A:B,2,FALSE)</f>
        <v>SEVROLL 20334-SV támfalas kefe becsúsztatható 14x4mm fekete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4,8-fényes fekete</v>
      </c>
      <c r="D856" s="424">
        <v>409699</v>
      </c>
      <c r="E856" s="419" t="str">
        <f>+VLOOKUP(A856,cennik!A:G,2,FALSE)</f>
        <v>SEVROLL 20403-SV támfalas kefe becsúsztatható 4,8x4mm fekete</v>
      </c>
      <c r="F856" s="419" t="str">
        <f>+VLOOKUP(A856,cennik!A:B,2,FALSE)</f>
        <v>SEVROLL 20403-SV támfalas kefe becsúsztatható 4,8x4mm fekete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14,5-matt feket</v>
      </c>
      <c r="D857" s="423">
        <v>409700</v>
      </c>
      <c r="E857" s="419" t="str">
        <f>+VLOOKUP(A857,cennik!A:G,2,FALSE)</f>
        <v>SEVROLL 20334-SV támfalas kefe becsúsztatható 14x4mm fekete</v>
      </c>
      <c r="F857" s="419" t="str">
        <f>+VLOOKUP(A857,cennik!A:B,2,FALSE)</f>
        <v>SEVROLL 20334-SV támfalas kefe becsúsztatható 14x4mm fekete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támfalas kefe becsúsztatható 14x4mm fekete</v>
      </c>
      <c r="F858" s="419" t="str">
        <f>+VLOOKUP(A858,cennik!A:B,2,FALSE)</f>
        <v>SEVROLL 20334-SV támfalas kefe becsúsztatható 14x4mm fekete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4,8-matt feket</v>
      </c>
      <c r="D859" s="424">
        <v>409699</v>
      </c>
      <c r="E859" s="419" t="str">
        <f>+VLOOKUP(A859,cennik!A:G,2,FALSE)</f>
        <v>SEVROLL 20403-SV támfalas kefe becsúsztatható 4,8x4mm fekete</v>
      </c>
      <c r="F859" s="419" t="str">
        <f>+VLOOKUP(A859,cennik!A:B,2,FALSE)</f>
        <v>SEVROLL 20403-SV támfalas kefe becsúsztatható 4,8x4mm fekete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támfalas kefe becsúsztatható 4,8x4mm fekete</v>
      </c>
      <c r="F860" s="419" t="str">
        <f>+VLOOKUP(A860,cennik!A:B,2,FALSE)</f>
        <v>SEVROLL 20403-SV támfalas kefe becsúsztatható 4,8x4mm fekete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4,8-matt fehér</v>
      </c>
      <c r="D861" s="421">
        <v>305137</v>
      </c>
      <c r="E861" s="419" t="str">
        <f>+VLOOKUP(A861,cennik!A:G,2,FALSE)</f>
        <v>SEVROLL 20287-SV támfalas kefe becsúsztatható 4,8x4mm fehér</v>
      </c>
      <c r="F861" s="419" t="str">
        <f>+VLOOKUP(A861,cennik!A:B,2,FALSE)</f>
        <v>SEVROLL 20287-SV támfalas kefe becsúsztatható 4,8x4mm fehér</v>
      </c>
      <c r="G861" s="419" t="e">
        <f>+VLOOKUP(B861,cennik!B:C,2,FALSE)</f>
        <v>#N/A</v>
      </c>
      <c r="H861" s="417">
        <v>4.8</v>
      </c>
      <c r="I861" s="417" t="str">
        <f>J15</f>
        <v>fehér fényes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4,8-fekete szerkezeti</v>
      </c>
      <c r="D862" s="424">
        <v>409699</v>
      </c>
      <c r="E862" s="419" t="str">
        <f>+VLOOKUP(A862,cennik!A:G,2,FALSE)</f>
        <v>SEVROLL 20403-SV támfalas kefe becsúsztatható 4,8x4mm fekete</v>
      </c>
      <c r="F862" s="419" t="str">
        <f>+VLOOKUP(A862,cennik!A:B,2,FALSE)</f>
        <v>SEVROLL 20403-SV támfalas kefe becsúsztatható 4,8x4mm fekete</v>
      </c>
      <c r="G862" s="417"/>
      <c r="H862" s="417">
        <v>4.8</v>
      </c>
      <c r="I862" s="417" t="str">
        <f>J22</f>
        <v>fekete szerkezeti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14,5-fekete szerkezeti</v>
      </c>
      <c r="D863" s="423">
        <v>409700</v>
      </c>
      <c r="E863" s="419" t="str">
        <f>+VLOOKUP(A863,cennik!A:G,2,FALSE)</f>
        <v>SEVROLL 20334-SV támfalas kefe becsúsztatható 14x4mm fekete</v>
      </c>
      <c r="F863" s="419" t="str">
        <f>+VLOOKUP(A863,cennik!A:B,2,FALSE)</f>
        <v>SEVROLL 20334-SV támfalas kefe becsúsztatható 14x4mm fekete</v>
      </c>
      <c r="G863" s="417"/>
      <c r="H863" s="417">
        <v>14.5</v>
      </c>
      <c r="I863" s="417" t="str">
        <f>J22</f>
        <v>fekete szerkezeti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3000-matt feket</v>
      </c>
      <c r="D864" s="425">
        <v>452604</v>
      </c>
      <c r="E864" s="426" t="str">
        <f>+VLOOKUP(A864,cennik!A:G,2,FALSE)</f>
        <v>SEVROLL összekötő profil H30 3m matt fekete</v>
      </c>
      <c r="F864" s="426" t="str">
        <f>+VLOOKUP(A864,cennik!A:B,2,FALSE)</f>
        <v>SEVROLL összekötő profil H30 3m matt fekete</v>
      </c>
      <c r="G864" s="425"/>
      <c r="H864" s="425">
        <v>3000</v>
      </c>
      <c r="I864" s="425" t="str">
        <f>CONCATENATE(H864,"-",J17)</f>
        <v>3000-matt feket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2700-matt feket</v>
      </c>
      <c r="D865" s="1">
        <v>278164</v>
      </c>
      <c r="E865" s="48" t="str">
        <f>+VLOOKUP(A865,cennik!A:G,2,FALSE)</f>
        <v>SEVROLL Gemini fogantyú profil 2,7m matt feket</v>
      </c>
      <c r="F865" s="48" t="str">
        <f>+VLOOKUP(A865,cennik!A:B,2,FALSE)</f>
        <v>SEVROLL Gemini fogantyú profil 2,7m matt feket</v>
      </c>
      <c r="G865" s="1"/>
      <c r="H865" s="1">
        <v>2700</v>
      </c>
      <c r="I865" s="1" t="str">
        <f>CONCATENATE(H865,"-",J17)</f>
        <v>2700-matt feket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4050-matt feket</v>
      </c>
      <c r="D866" s="1">
        <v>409674</v>
      </c>
      <c r="E866" s="48" t="str">
        <f>+VLOOKUP(A866,cennik!A:G,2,FALSE)</f>
        <v>SEVROLL04835  Gemini felső vezetés 4,05m matt fekete</v>
      </c>
      <c r="F866" s="48" t="str">
        <f>+VLOOKUP(A866,cennik!A:B,2,FALSE)</f>
        <v>SEVROLL04835  Gemini felső vezetés 4,05m matt fekete</v>
      </c>
      <c r="G866" s="1"/>
      <c r="H866" s="1">
        <v>4050</v>
      </c>
      <c r="I866" s="1" t="str">
        <f>CONCATENATE(H866,"-",J17)</f>
        <v>4050-matt feket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2700-matt feket</v>
      </c>
      <c r="D867" s="1">
        <v>452601</v>
      </c>
      <c r="E867" s="48" t="str">
        <f>+VLOOKUP(A867,cennik!A:G,2,FALSE)</f>
        <v>SEVROLL 05306 Faworyt II fogantyú profil 2,7m matt fekete</v>
      </c>
      <c r="F867" s="48" t="str">
        <f>+VLOOKUP(A867,cennik!A:B,2,FALSE)</f>
        <v>SEVROLL 05306 Faworyt II fogantyú profil 2,7m matt fekete</v>
      </c>
      <c r="G867" s="1"/>
      <c r="H867" s="1">
        <v>2700</v>
      </c>
      <c r="I867" s="1" t="str">
        <f>CONCATENATE(H867,"-",J17)</f>
        <v>2700-matt feket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3000-matt feket</v>
      </c>
      <c r="D868" s="2">
        <v>452735</v>
      </c>
      <c r="E868" s="429" t="str">
        <f>+VLOOKUP(A868,cennik!A:G,2,FALSE)</f>
        <v>SEVROLL Pax felső vezető profil 3m matt fekete</v>
      </c>
      <c r="F868" s="48" t="str">
        <f>+VLOOKUP(A868,cennik!A:B,2,FALSE)</f>
        <v>SEVROLL Pax felső vezető profil 3m matt fekete</v>
      </c>
      <c r="G868" s="1"/>
      <c r="H868" s="1">
        <v>3000</v>
      </c>
      <c r="I868" s="1" t="str">
        <f>CONCATENATE(H868,"-",J17)</f>
        <v>3000-matt feket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2700-matt feket</v>
      </c>
      <c r="D869" s="2">
        <v>456332</v>
      </c>
      <c r="E869" s="48" t="str">
        <f>+VLOOKUP(A869,cennik!A:G,2,FALSE)</f>
        <v>SEVROLL Pax fogantyú profil 2,7m mat fekete</v>
      </c>
      <c r="F869" s="48" t="str">
        <f>+VLOOKUP(A869,cennik!A:B,2,FALSE)</f>
        <v>SEVROLL Pax fogantyú profil 2,7m mat fekete</v>
      </c>
      <c r="G869" s="1"/>
      <c r="H869" s="1">
        <v>2700</v>
      </c>
      <c r="I869" s="1" t="str">
        <f>CONCATENATE(H869,"-",J17)</f>
        <v>2700-matt feket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3000-matt feket</v>
      </c>
      <c r="D870" s="2">
        <v>456333</v>
      </c>
      <c r="E870" s="48" t="str">
        <f>+VLOOKUP(A870,cennik!A:G,2,FALSE)</f>
        <v>SEVROLL Pax fogantyú profil 3m mat fekete</v>
      </c>
      <c r="F870" s="48" t="str">
        <f>+VLOOKUP(A870,cennik!A:B,2,FALSE)</f>
        <v>SEVROLL Pax fogantyú profil 3m mat fekete</v>
      </c>
      <c r="H870" s="1">
        <v>3000</v>
      </c>
      <c r="I870" s="1" t="str">
        <f>CONCATENATE(H870,"-",J17)</f>
        <v>3000-matt feket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-matt feket</v>
      </c>
      <c r="D871" s="1">
        <v>422012</v>
      </c>
      <c r="E871" s="48" t="str">
        <f>+VLOOKUP(A871,cennik!A:G,2,FALSE)</f>
        <v>SEVROLL Pax végzáró profilhoz (4 db) matt fekete</v>
      </c>
      <c r="F871" s="48" t="str">
        <f>+VLOOKUP(A871,cennik!A:B,2,FALSE)</f>
        <v>SEVROLL Pax végzáró profilhoz (4 db) matt fekete</v>
      </c>
      <c r="I871" s="1" t="str">
        <f>CONCATENATE(H871,"-",J17)</f>
        <v>-matt feket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3000-matt feket</v>
      </c>
      <c r="D872" s="1">
        <v>452606</v>
      </c>
      <c r="E872" s="48" t="str">
        <f>+VLOOKUP(A872,cennik!A:G,2,FALSE)</f>
        <v>SEVROLL távtartó profil 04 3m matt fekete</v>
      </c>
      <c r="F872" s="48" t="str">
        <f>+VLOOKUP(A872,cennik!A:B,2,FALSE)</f>
        <v>SEVROLL távtartó profil 04 3m matt fekete</v>
      </c>
      <c r="H872" s="1">
        <v>3000</v>
      </c>
      <c r="I872" s="1" t="str">
        <f>CONCATENATE(H872,"-",J17)</f>
        <v>3000-matt feket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-matt feket</v>
      </c>
      <c r="D873" s="1">
        <v>422009</v>
      </c>
      <c r="E873" s="48" t="str">
        <f>+VLOOKUP(A873,cennik!A:G,2,FALSE)</f>
        <v>SEVROLL Pax fogantyú ragasztható matt fekete</v>
      </c>
      <c r="F873" s="48" t="str">
        <f>+VLOOKUP(A873,cennik!A:B,2,FALSE)</f>
        <v>SEVROLL Pax fogantyú ragasztható matt fekete</v>
      </c>
      <c r="I873" s="1" t="str">
        <f>CONCATENATE(H873,"-",J17)</f>
        <v>-matt feket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3000-matt feket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3000-matt feket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3000-matt fehér</v>
      </c>
      <c r="D875" s="436">
        <v>276731</v>
      </c>
      <c r="E875" s="438" t="str">
        <f>+VLOOKUP(A875,cennik!A:G,2,FALSE)</f>
        <v>SEVROLL 04066 szögletvas Mini 17x11mm 3m matt fehér</v>
      </c>
      <c r="F875" s="438" t="str">
        <f>+VLOOKUP(A875,cennik!A:B,2,FALSE)</f>
        <v>SEVROLL 04066 szögletvas Mini 17x11mm 3m matt fehér</v>
      </c>
      <c r="G875" s="437"/>
      <c r="H875" s="437">
        <v>3000</v>
      </c>
      <c r="I875" s="437" t="str">
        <f>CONCATENATE(H875,"-",J18)</f>
        <v>3000-matt fehér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2700-matt fehér</v>
      </c>
      <c r="D876" s="436">
        <v>276742</v>
      </c>
      <c r="E876" s="438" t="str">
        <f>+VLOOKUP(A876,cennik!A:G,2,FALSE)</f>
        <v>SEVROLL 04556 Faworyt II fogantyú profil 2,7m matt fehér</v>
      </c>
      <c r="F876" s="438" t="str">
        <f>+VLOOKUP(A876,cennik!A:B,2,FALSE)</f>
        <v>SEVROLL 04556 Faworyt II fogantyú profil 2,7m matt fehér</v>
      </c>
      <c r="G876" s="437"/>
      <c r="H876" s="437">
        <v>2700</v>
      </c>
      <c r="I876" s="437" t="str">
        <f>CONCATENATE(H876,"-",J18)</f>
        <v>2700-matt fehér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2700-matt fehér</v>
      </c>
      <c r="D877" s="436">
        <v>394791</v>
      </c>
      <c r="E877" s="438" t="str">
        <f>+VLOOKUP(A877,cennik!A:G,2,FALSE)</f>
        <v>SEVROLL05153  Alfa II profil 18mm 2,7m matt fehér</v>
      </c>
      <c r="F877" s="438" t="str">
        <f>+VLOOKUP(A877,cennik!A:B,2,FALSE)</f>
        <v>SEVROLL05153  Alfa II profil 18mm 2,7m matt fehér</v>
      </c>
      <c r="G877" s="437"/>
      <c r="H877" s="437">
        <v>2700</v>
      </c>
      <c r="I877" s="437" t="str">
        <f>CONCATENATE(H877,"-",J18)</f>
        <v>2700-matt fehér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3000-matt fehér</v>
      </c>
      <c r="D878" s="436">
        <v>406464</v>
      </c>
      <c r="E878" s="438" t="str">
        <f>+VLOOKUP(A878,cennik!A:G,2,FALSE)</f>
        <v>SEVROLL "U" profil RL-hez 18mm 3m matt fehér</v>
      </c>
      <c r="F878" s="438" t="str">
        <f>+VLOOKUP(A878,cennik!A:B,2,FALSE)</f>
        <v>SEVROLL "U" profil RL-hez 18mm 3m matt fehér</v>
      </c>
      <c r="G878" s="437"/>
      <c r="H878" s="437">
        <v>3000</v>
      </c>
      <c r="I878" s="437" t="str">
        <f>CONCATENATE(H878,"-",J18)</f>
        <v>3000-matt fehér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2700-fehér fényes</v>
      </c>
      <c r="D879" s="434">
        <v>372603</v>
      </c>
      <c r="E879" s="432" t="str">
        <f>+VLOOKUP(A879,cennik!A:G,2,FALSE)</f>
        <v>Sevroll 04933 Era fogantyú profil 18mm 2,70m fehér fényes</v>
      </c>
      <c r="F879" s="432" t="str">
        <f>+VLOOKUP(A879,cennik!A:B,2,FALSE)</f>
        <v>Sevroll 04933 Era fogantyú profil 18mm 2,70m fehér fényes</v>
      </c>
      <c r="H879" s="434">
        <v>2700</v>
      </c>
      <c r="I879" s="434" t="str">
        <f>CONCATENATE(H879,"-",J15)</f>
        <v>2700-fehér fényes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2000-fehér fényes</v>
      </c>
      <c r="D880" s="434">
        <v>394231</v>
      </c>
      <c r="E880" s="432" t="str">
        <f>+VLOOKUP(A880,cennik!A:G,2,FALSE)</f>
        <v>SEVROLL 04940 alsó takaró profil Simple/Blue 2m (RL: 18 mm) fényes fehér</v>
      </c>
      <c r="F880" s="432" t="str">
        <f>+VLOOKUP(A880,cennik!A:B,2,FALSE)</f>
        <v>SEVROLL 04940 alsó takaró profil Simple/Blue 2m (RL: 18 mm) fényes fehér</v>
      </c>
      <c r="H880" s="434">
        <v>2000</v>
      </c>
      <c r="I880" s="434" t="str">
        <f>CONCATENATE(H880,"-",J15)</f>
        <v>2000-fehér fényes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3000-fehér fényes</v>
      </c>
      <c r="D881" s="434">
        <v>394265</v>
      </c>
      <c r="E881" s="432" t="str">
        <f>+VLOOKUP(A881,cennik!A:G,2,FALSE)</f>
        <v>SEVROLL 04941 alsó takaró profil Simple/Blue 3m (RL: 18 mm) fényes fehér</v>
      </c>
      <c r="F881" s="432" t="str">
        <f>+VLOOKUP(A881,cennik!A:B,2,FALSE)</f>
        <v>SEVROLL 04941 alsó takaró profil Simple/Blue 3m (RL: 18 mm) fényes fehér</v>
      </c>
      <c r="H881" s="434">
        <v>3000</v>
      </c>
      <c r="I881" s="434" t="str">
        <f>CONCATENATE(H881,"-",J15)</f>
        <v>3000-fehér fényes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2000-fehér fényes</v>
      </c>
      <c r="D882" s="434">
        <v>394267</v>
      </c>
      <c r="E882" s="432" t="str">
        <f>+VLOOKUP(A882,cennik!A:G,2,FALSE)</f>
        <v>SEVROLL 04942 felső vezető profil Simple/Blue 2m (RL: 18mm) fehér fényes</v>
      </c>
      <c r="F882" s="432" t="str">
        <f>+VLOOKUP(A882,cennik!A:B,2,FALSE)</f>
        <v>SEVROLL 04942 felső vezető profil Simple/Blue 2m (RL: 18mm) fehér fényes</v>
      </c>
      <c r="H882" s="434">
        <v>2000</v>
      </c>
      <c r="I882" s="434" t="str">
        <f>CONCATENATE(H882,"-",J15)</f>
        <v>2000-fehér fényes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3000-fehér fényes</v>
      </c>
      <c r="D883" s="434">
        <v>394270</v>
      </c>
      <c r="E883" s="432" t="str">
        <f>+VLOOKUP(A883,cennik!A:G,2,FALSE)</f>
        <v>SEVROLL04943  felső vezető profil Simple/Blue 3m (RL: 18mm) fehér fényes</v>
      </c>
      <c r="F883" s="432" t="str">
        <f>+VLOOKUP(A883,cennik!A:B,2,FALSE)</f>
        <v>SEVROLL04943  felső vezető profil Simple/Blue 3m (RL: 18mm) fehér fényes</v>
      </c>
      <c r="G883" s="434"/>
      <c r="H883" s="434">
        <v>3000</v>
      </c>
      <c r="I883" s="434" t="str">
        <f>CONCATENATE(H883,"-",J15)</f>
        <v>3000-fehér fényes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3000-fehér fényes</v>
      </c>
      <c r="D884" s="434">
        <v>394273</v>
      </c>
      <c r="E884" s="432" t="str">
        <f>+VLOOKUP(A884,cennik!A:G,2,FALSE)</f>
        <v>SEVROLL 04929 összekötő profil Simple/Blue H21 3m (RL:18mm) fényes fehér</v>
      </c>
      <c r="F884" s="432" t="str">
        <f>+VLOOKUP(A884,cennik!A:B,2,FALSE)</f>
        <v>SEVROLL 04929 összekötő profil Simple/Blue H21 3m (RL:18mm) fényes fehér</v>
      </c>
      <c r="G884" s="434"/>
      <c r="H884" s="434">
        <v>3000</v>
      </c>
      <c r="I884" s="434" t="str">
        <f>CONCATENATE(H884,"-",J15)</f>
        <v>3000-fehér fényes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3000-fehér fényes</v>
      </c>
      <c r="D885" s="434">
        <v>394281</v>
      </c>
      <c r="E885" s="432" t="str">
        <f>+VLOOKUP(A885,cennik!A:G,2,FALSE)</f>
        <v>SEVROLL 04932 összekötő profil Simple/Blue H28 3m (RL:18mm) fényes fehér</v>
      </c>
      <c r="F885" s="432" t="str">
        <f>+VLOOKUP(A885,cennik!A:B,2,FALSE)</f>
        <v>SEVROLL 04932 összekötő profil Simple/Blue H28 3m (RL:18mm) fényes fehér</v>
      </c>
      <c r="G885" s="434"/>
      <c r="H885" s="434">
        <v>3000</v>
      </c>
      <c r="I885" s="434" t="str">
        <f>CONCATENATE(H885,"-",J15)</f>
        <v>3000-fehér fényes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fogantyú profil 2,7m oliva</v>
      </c>
      <c r="F886" s="432" t="str">
        <f>+VLOOKUP(A886,cennik!A:B,2,FALSE)</f>
        <v>SEVROLL 05791 Prosper GM 18 fogantyú profil 2,7m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>ezüst</v>
      </c>
      <c r="D887" s="1">
        <v>489290</v>
      </c>
      <c r="E887" s="432" t="str">
        <f>+VLOOKUP(A887,cennik!A:G,2,FALSE)</f>
        <v>SEVROLL 05790 Prosper GM 18 fogókorlát 2,7m ezüst</v>
      </c>
      <c r="F887" s="432" t="str">
        <f>+VLOOKUP(A887,cennik!A:B,2,FALSE)</f>
        <v>SEVROLL 05790 Prosper GM 18 fogókorlát 2,7m ezüst</v>
      </c>
      <c r="I887" s="1" t="str">
        <f>J4</f>
        <v>ezüst</v>
      </c>
    </row>
    <row r="888" spans="1:26" ht="15" customHeight="1" x14ac:dyDescent="0.3">
      <c r="A888" s="1">
        <v>496942</v>
      </c>
      <c r="C888" s="1" t="str">
        <f>J4</f>
        <v>ezüst</v>
      </c>
      <c r="D888" s="1">
        <v>496942</v>
      </c>
      <c r="E888" s="432" t="str">
        <f>+VLOOKUP(A888,cennik!A:G,2,FALSE)</f>
        <v>SEVROLL 05804 GM 18 összekötő profil H18 3m ezüst</v>
      </c>
      <c r="F888" s="432" t="str">
        <f>+VLOOKUP(A888,cennik!A:B,2,FALSE)</f>
        <v>SEVROLL 05804 GM 18 összekötő profil H18 3m ezüst</v>
      </c>
      <c r="I888" s="1" t="str">
        <f>J4</f>
        <v>ezüst</v>
      </c>
    </row>
    <row r="889" spans="1:26" ht="15" customHeight="1" x14ac:dyDescent="0.3">
      <c r="A889" s="1">
        <v>496987</v>
      </c>
      <c r="C889" s="1" t="str">
        <f>J17</f>
        <v>matt feket</v>
      </c>
      <c r="D889" s="1">
        <v>496987</v>
      </c>
      <c r="E889" s="432" t="str">
        <f>+VLOOKUP(A889,cennik!A:G,2,FALSE)</f>
        <v>SEVROLL 05924 GM 18 összekötő profil H18 3m matt fekete</v>
      </c>
      <c r="F889" s="432" t="str">
        <f>+VLOOKUP(A889,cennik!A:B,2,FALSE)</f>
        <v>SEVROLL 05924 GM 18 összekötő profil H18 3m matt fekete</v>
      </c>
      <c r="I889" s="1" t="str">
        <f>J17</f>
        <v>matt feket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összekötő profil H18 3m oliva</v>
      </c>
      <c r="F890" s="432" t="str">
        <f>+VLOOKUP(A890,cennik!A:B,2,FALSE)</f>
        <v>SEVROLL 05805 GM 18 összekötő profil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>ezüst</v>
      </c>
      <c r="D891" s="1">
        <v>496924</v>
      </c>
      <c r="E891" s="432" t="str">
        <f>+VLOOKUP(A891,cennik!A:G,2,FALSE)</f>
        <v>SEVROLL 05806 GM 18 összekötő profil H25 3m ezüst</v>
      </c>
      <c r="F891" s="432" t="str">
        <f>+VLOOKUP(A891,cennik!A:B,2,FALSE)</f>
        <v>SEVROLL 05806 GM 18 összekötő profil H25 3m ezüst</v>
      </c>
      <c r="I891" s="1" t="str">
        <f>J4</f>
        <v>ezüst</v>
      </c>
    </row>
    <row r="892" spans="1:26" ht="15" customHeight="1" x14ac:dyDescent="0.3">
      <c r="A892" s="1">
        <v>496996</v>
      </c>
      <c r="C892" s="1" t="str">
        <f>J17</f>
        <v>matt feket</v>
      </c>
      <c r="D892" s="1">
        <v>496996</v>
      </c>
      <c r="E892" s="432" t="str">
        <f>+VLOOKUP(A892,cennik!A:G,2,FALSE)</f>
        <v>SEVROLL 05926 GM 18 összekötő profil H25 3m matt fekete</v>
      </c>
      <c r="F892" s="432" t="str">
        <f>+VLOOKUP(A892,cennik!A:B,2,FALSE)</f>
        <v>SEVROLL 05926 GM 18 összekötő profil H25 3m matt fekete</v>
      </c>
      <c r="I892" s="1" t="str">
        <f>J17</f>
        <v>matt feket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összekötő profil H25 3m oliva</v>
      </c>
      <c r="F893" s="432" t="str">
        <f>+VLOOKUP(A893,cennik!A:B,2,FALSE)</f>
        <v>SEVROLL 05807 GM 18 összekötő profil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fogókorlát 2,7m oliva</v>
      </c>
      <c r="F894" s="432" t="str">
        <f>+VLOOKUP(A894,cennik!A:B,2,FALSE)</f>
        <v>SEVROLL 05789 Arte GM 18 fogókorlát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>ezüst</v>
      </c>
      <c r="D895" s="2">
        <v>489292</v>
      </c>
      <c r="E895" s="432" t="str">
        <f>+VLOOKUP(A895,cennik!A:G,2,FALSE)</f>
        <v>SEVROLL 05788 Arte GM 18 fogókorlát 2,7m ezüst</v>
      </c>
      <c r="F895" s="432" t="str">
        <f>+VLOOKUP(A895,cennik!A:B,2,FALSE)</f>
        <v>SEVROLL 05788 Arte GM 18 fogókorlát 2,7m ezüst</v>
      </c>
      <c r="H895" s="1">
        <v>2700</v>
      </c>
      <c r="I895" s="1" t="str">
        <f>J4</f>
        <v>ezüst</v>
      </c>
    </row>
    <row r="896" spans="1:26" ht="15" customHeight="1" x14ac:dyDescent="0.3">
      <c r="A896" s="1">
        <v>489294</v>
      </c>
      <c r="C896" s="1" t="str">
        <f>J17</f>
        <v>matt feket</v>
      </c>
      <c r="D896" s="1">
        <v>489294</v>
      </c>
      <c r="E896" s="432" t="str">
        <f>+VLOOKUP(A896,cennik!A:G,2,FALSE)</f>
        <v>SEVROLL 05910 Arte GM 18 fogókorlát 2,7m fekete matt</v>
      </c>
      <c r="F896" s="432" t="str">
        <f>+VLOOKUP(A896,cennik!A:B,2,FALSE)</f>
        <v>SEVROLL 05910 Arte GM 18 fogókorlát 2,7m fekete matt</v>
      </c>
      <c r="H896" s="1">
        <v>2700</v>
      </c>
      <c r="I896" s="1" t="str">
        <f>J17</f>
        <v>matt feket</v>
      </c>
    </row>
    <row r="897" spans="1:9" ht="15" customHeight="1" x14ac:dyDescent="0.3">
      <c r="A897" s="1">
        <v>489287</v>
      </c>
      <c r="C897" s="1" t="str">
        <f>J4</f>
        <v>ezüst</v>
      </c>
      <c r="D897" s="1">
        <v>489287</v>
      </c>
      <c r="E897" s="432" t="str">
        <f>+VLOOKUP(A897,cennik!A:G,2,FALSE)</f>
        <v>SEVROLL 05785 Porto GM 18 fogantyú profil 3m ezüst</v>
      </c>
      <c r="F897" s="432" t="str">
        <f>+VLOOKUP(A897,cennik!A:B,2,FALSE)</f>
        <v>SEVROLL 05785 Porto GM 18 fogantyú profil 3m ezüst</v>
      </c>
      <c r="H897" s="1">
        <v>3000</v>
      </c>
      <c r="I897" s="1" t="str">
        <f>J4</f>
        <v>ezüst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fogantyú profil 2,7m oliva</v>
      </c>
      <c r="F898" s="432" t="str">
        <f>+VLOOKUP(A898,cennik!A:B,2,FALSE)</f>
        <v>SEVROLL 05786 Porto GM 18 fogantyú profil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>ezüst</v>
      </c>
      <c r="D899" s="1">
        <v>489287</v>
      </c>
      <c r="E899" s="432" t="str">
        <f>+VLOOKUP(A899,cennik!A:G,2,FALSE)</f>
        <v>SEVROLL 05785 Porto GM 18 fogantyú profil 3m ezüst</v>
      </c>
      <c r="F899" s="432" t="str">
        <f>+VLOOKUP(A899,cennik!A:B,2,FALSE)</f>
        <v>SEVROLL 05785 Porto GM 18 fogantyú profil 3m ezüst</v>
      </c>
      <c r="H899" s="434">
        <v>3000</v>
      </c>
      <c r="I899" s="1" t="str">
        <f>J4</f>
        <v>ezüst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fogantyú profil 2,7m oliva</v>
      </c>
      <c r="F900" s="432" t="str">
        <f>+VLOOKUP(A900,cennik!A:B,2,FALSE)</f>
        <v>SEVROLL 05787 Porto GM 18 fogantyú profil 2,7m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2026-03-30T09:58:11Z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