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5" documentId="8_{9DBFD417-7F70-4491-857C-D973679D8150}" xr6:coauthVersionLast="47" xr6:coauthVersionMax="47" xr10:uidLastSave="{8CF88469-A40B-4AE6-8412-06549B7A958F}"/>
  <workbookProtection workbookAlgorithmName="SHA-512" workbookHashValue="Tk7o98V02htsyuOBYKsYJ5QQNZuZkP/ZPvhKvUdxFAYb3kYZEez+sUI7TSQLrlLMKj+1sRQ2FEb6IqiyJHQnCQ==" workbookSaltValue="LJr2ypfoSH4HoA4IbO44qg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r:id="rId8"/>
  </sheets>
  <definedNames>
    <definedName name="Blum_P">karty!$C$24:$C$30</definedName>
    <definedName name="Blum_Z">karty!$C$18:$C$23</definedName>
    <definedName name="Hettich_P">karty!$C$36:$C$39</definedName>
    <definedName name="Hettich_Z">karty!$C$31:$C$35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3" i="5"/>
  <c r="A22" i="5"/>
  <c r="A21" i="5"/>
  <c r="V16" i="3" l="1"/>
  <c r="V15" i="3"/>
  <c r="V14" i="3"/>
  <c r="AE21" i="4"/>
  <c r="X21" i="4"/>
  <c r="Q14" i="4"/>
  <c r="Q7" i="4"/>
  <c r="W12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Q22" i="4" l="1"/>
  <c r="Q21" i="4"/>
  <c r="Q18" i="4"/>
  <c r="Q11" i="4"/>
  <c r="Q15" i="4" l="1"/>
  <c r="Q16" i="4"/>
  <c r="Q17" i="4"/>
  <c r="Q8" i="4"/>
  <c r="Q9" i="4"/>
  <c r="Q10" i="4"/>
  <c r="A17" i="5" l="1"/>
  <c r="A34" i="5"/>
  <c r="A37" i="5"/>
  <c r="A38" i="5"/>
  <c r="A35" i="5"/>
  <c r="A39" i="5"/>
  <c r="C12" i="8"/>
  <c r="D1" i="2" l="1"/>
  <c r="H13" i="3" s="1"/>
  <c r="D13" i="3" l="1"/>
  <c r="D12" i="3"/>
  <c r="B4" i="2"/>
  <c r="B16" i="2"/>
  <c r="B28" i="2"/>
  <c r="B40" i="2"/>
  <c r="B17" i="2"/>
  <c r="B29" i="2"/>
  <c r="B41" i="2"/>
  <c r="B19" i="3" s="1"/>
  <c r="B18" i="2"/>
  <c r="B30" i="2"/>
  <c r="B42" i="2"/>
  <c r="B7" i="2"/>
  <c r="B31" i="2"/>
  <c r="B43" i="2"/>
  <c r="B8" i="2"/>
  <c r="B32" i="2"/>
  <c r="B44" i="2"/>
  <c r="B21" i="2"/>
  <c r="B45" i="2"/>
  <c r="B10" i="2"/>
  <c r="B46" i="2"/>
  <c r="E30" i="7" s="1"/>
  <c r="B23" i="2"/>
  <c r="B49" i="2"/>
  <c r="B17" i="3" s="1"/>
  <c r="B24" i="2"/>
  <c r="B50" i="2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F12" i="3" s="1"/>
  <c r="B26" i="2"/>
  <c r="B52" i="2"/>
  <c r="G12" i="3" s="1"/>
  <c r="B27" i="2"/>
  <c r="B6" i="2"/>
  <c r="B22" i="2"/>
  <c r="B39" i="2"/>
  <c r="R32" i="7" s="1"/>
  <c r="A1" i="2"/>
  <c r="F8" i="3"/>
  <c r="L23" i="3"/>
  <c r="D8" i="3"/>
  <c r="B7" i="3"/>
  <c r="A28" i="1" l="1"/>
  <c r="B32" i="7"/>
  <c r="E25" i="7"/>
  <c r="L2" i="1"/>
  <c r="E8" i="7" l="1"/>
  <c r="E11" i="7"/>
  <c r="E13" i="7"/>
  <c r="E15" i="7"/>
  <c r="E17" i="7"/>
  <c r="E23" i="7"/>
  <c r="H5" i="7"/>
  <c r="E21" i="7" l="1"/>
  <c r="B15" i="3"/>
  <c r="E27" i="7"/>
  <c r="B21" i="3"/>
  <c r="B12" i="3"/>
  <c r="B13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6" i="5"/>
  <c r="A31" i="5"/>
  <c r="A32" i="5"/>
  <c r="A33" i="5"/>
  <c r="A9" i="5"/>
  <c r="F1" i="5" l="1"/>
  <c r="J21" i="5" l="1"/>
  <c r="J33" i="5"/>
  <c r="C35" i="5"/>
  <c r="C23" i="5"/>
  <c r="C11" i="5"/>
  <c r="C18" i="5"/>
  <c r="J9" i="5"/>
  <c r="C15" i="5"/>
  <c r="C14" i="5"/>
  <c r="C25" i="5"/>
  <c r="C12" i="5"/>
  <c r="J10" i="5"/>
  <c r="P10" i="5" s="1"/>
  <c r="J22" i="5"/>
  <c r="J34" i="5"/>
  <c r="C34" i="5"/>
  <c r="C22" i="5"/>
  <c r="C10" i="5"/>
  <c r="J36" i="5"/>
  <c r="P36" i="5" s="1"/>
  <c r="C32" i="5"/>
  <c r="C19" i="5"/>
  <c r="C30" i="5"/>
  <c r="C28" i="5"/>
  <c r="C27" i="5"/>
  <c r="J30" i="5"/>
  <c r="P30" i="5" s="1"/>
  <c r="C13" i="5"/>
  <c r="J11" i="5"/>
  <c r="J23" i="5"/>
  <c r="J35" i="5"/>
  <c r="C33" i="5"/>
  <c r="C21" i="5"/>
  <c r="C9" i="5"/>
  <c r="J24" i="5"/>
  <c r="P24" i="5" s="1"/>
  <c r="C20" i="5"/>
  <c r="J26" i="5"/>
  <c r="P26" i="5" s="1"/>
  <c r="J38" i="5"/>
  <c r="P38" i="5" s="1"/>
  <c r="C17" i="5"/>
  <c r="C39" i="5"/>
  <c r="J19" i="5"/>
  <c r="J32" i="5"/>
  <c r="J12" i="5"/>
  <c r="P12" i="5" s="1"/>
  <c r="J13" i="5"/>
  <c r="P13" i="5" s="1"/>
  <c r="J25" i="5"/>
  <c r="J37" i="5"/>
  <c r="P37" i="5" s="1"/>
  <c r="C31" i="5"/>
  <c r="J28" i="5"/>
  <c r="P28" i="5" s="1"/>
  <c r="J29" i="5"/>
  <c r="P29" i="5" s="1"/>
  <c r="C26" i="5"/>
  <c r="C37" i="5"/>
  <c r="C36" i="5"/>
  <c r="J14" i="5"/>
  <c r="J18" i="5"/>
  <c r="C24" i="5"/>
  <c r="J15" i="5"/>
  <c r="P15" i="5" s="1"/>
  <c r="J27" i="5"/>
  <c r="P27" i="5" s="1"/>
  <c r="J39" i="5"/>
  <c r="P39" i="5" s="1"/>
  <c r="C29" i="5"/>
  <c r="C16" i="5"/>
  <c r="C38" i="5"/>
  <c r="J20" i="5"/>
  <c r="P20" i="5" s="1"/>
  <c r="J16" i="5"/>
  <c r="P16" i="5" s="1"/>
  <c r="J17" i="5"/>
  <c r="P17" i="5" s="1"/>
  <c r="J31" i="5"/>
  <c r="P34" i="5"/>
  <c r="P35" i="5"/>
  <c r="P31" i="5"/>
  <c r="P9" i="5"/>
  <c r="P18" i="5"/>
  <c r="P32" i="5"/>
  <c r="P25" i="5"/>
  <c r="P11" i="5"/>
  <c r="P14" i="5"/>
  <c r="P19" i="5"/>
  <c r="P33" i="5"/>
  <c r="C10" i="8" l="1"/>
  <c r="C15" i="8" s="1"/>
  <c r="F6" i="3"/>
  <c r="X10" i="3"/>
  <c r="A7" i="3"/>
  <c r="B1" i="4"/>
  <c r="B2" i="4"/>
  <c r="B9" i="3"/>
  <c r="B10" i="3"/>
  <c r="B4" i="3"/>
  <c r="B5" i="3"/>
  <c r="B8" i="3"/>
  <c r="U24" i="5"/>
  <c r="Q25" i="4" l="1"/>
  <c r="X25" i="4"/>
  <c r="AE25" i="4"/>
  <c r="C13" i="8"/>
  <c r="AE24" i="4"/>
  <c r="X24" i="4"/>
  <c r="Q24" i="4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V27" i="4"/>
  <c r="AB27" i="4"/>
  <c r="AA27" i="4"/>
  <c r="X27" i="4"/>
  <c r="Z27" i="4"/>
  <c r="Y27" i="4"/>
  <c r="AI27" i="4"/>
  <c r="AH27" i="4"/>
  <c r="AG27" i="4"/>
  <c r="AE27" i="4"/>
  <c r="G13" i="3" s="1"/>
  <c r="AF27" i="4"/>
  <c r="U27" i="4"/>
  <c r="T27" i="4"/>
  <c r="S27" i="4"/>
  <c r="R27" i="4"/>
  <c r="F13" i="3" l="1"/>
  <c r="C12" i="3"/>
  <c r="C1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<sst xmlns="http://schemas.openxmlformats.org/spreadsheetml/2006/main" count="883" uniqueCount="576">
  <si>
    <t>1.00</t>
  </si>
  <si>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</si>
  <si>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</si>
  <si>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</si>
  <si>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</si>
  <si>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</si>
  <si>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</si>
  <si>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</si>
  <si>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</si>
  <si>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</si>
  <si>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</si>
  <si>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</si>
  <si>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</si>
  <si>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</si>
  <si>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</si>
  <si>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</si>
  <si>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</si>
  <si>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</si>
  <si>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</si>
  <si>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</si>
  <si>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</si>
  <si>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</si>
  <si>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</si>
  <si>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</si>
  <si>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</si>
  <si>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</si>
  <si>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</si>
  <si>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</si>
  <si>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</si>
  <si>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</si>
  <si>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</si>
  <si>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</si>
  <si>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</si>
  <si>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</si>
  <si>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</si>
  <si>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</si>
  <si>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</si>
  <si>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</si>
  <si>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</si>
  <si>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</si>
  <si>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</si>
  <si>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</si>
  <si>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</si>
  <si>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</si>
  <si>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</si>
  <si>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</si>
  <si>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</si>
  <si>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</si>
  <si>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</si>
  <si>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</si>
  <si>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</si>
  <si>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</si>
  <si>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</si>
  <si>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</si>
  <si>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</si>
  <si>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</si>
  <si>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</si>
  <si>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</si>
  <si>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</si>
  <si>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</si>
  <si>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</si>
  <si>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</si>
  <si>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</si>
  <si>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</si>
  <si>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</si>
  <si>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</si>
  <si>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</si>
  <si>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</si>
  <si>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</si>
  <si>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</si>
  <si>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</si>
  <si>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</si>
  <si>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</si>
  <si>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</si>
  <si>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</si>
  <si>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</si>
  <si>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</si>
  <si>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</si>
  <si>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</si>
  <si>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</si>
  <si>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</si>
  <si>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</si>
  <si>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</si>
  <si>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</si>
  <si>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</si>
  <si>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</si>
  <si>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</si>
  <si>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</si>
  <si>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</si>
  <si>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</si>
  <si>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</si>
  <si>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</si>
  <si>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</si>
  <si>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</si>
  <si>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</si>
  <si>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</si>
  <si>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</si>
  <si>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</si>
  <si>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</si>
  <si>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</si>
  <si>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</si>
  <si>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</si>
  <si>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</si>
  <si>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</si>
  <si>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</si>
  <si>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</si>
  <si>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</si>
  <si>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</si>
  <si>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</si>
  <si>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</si>
  <si>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</si>
  <si>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</si>
  <si>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</si>
  <si>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</si>
  <si>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</si>
  <si>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</si>
  <si>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</si>
  <si>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</si>
  <si>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</si>
  <si>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</si>
  <si>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</si>
  <si>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</si>
  <si>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</si>
  <si>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</si>
  <si>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</si>
  <si>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</si>
  <si>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</si>
  <si>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</si>
  <si>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</si>
  <si>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</si>
  <si>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</si>
  <si>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</si>
  <si>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</si>
  <si>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</si>
  <si>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</si>
  <si>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</si>
  <si>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</si>
  <si>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</si>
  <si>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</si>
  <si>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</si>
  <si>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</si>
  <si>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</si>
  <si>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</si>
  <si>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</si>
  <si>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</si>
  <si>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</si>
  <si>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</si>
  <si>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</si>
  <si>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</si>
  <si>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</si>
  <si>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</si>
  <si>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</si>
  <si>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</si>
  <si>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</si>
  <si>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</si>
  <si>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</si>
  <si>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</si>
  <si>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</si>
  <si>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</si>
  <si>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</si>
  <si>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</si>
  <si>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</si>
  <si>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</si>
  <si>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</si>
  <si>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</si>
  <si>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</si>
  <si>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</si>
  <si>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</si>
  <si>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</si>
  <si>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</si>
  <si>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</si>
  <si>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</si>
  <si>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</si>
  <si>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</si>
  <si>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</si>
  <si>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</si>
  <si>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</si>
  <si>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</si>
  <si>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</si>
  <si>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</si>
  <si>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</si>
  <si>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</si>
  <si>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</si>
  <si>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</si>
  <si>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</si>
  <si>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</si>
  <si>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</si>
  <si>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</si>
  <si>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</si>
  <si>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</si>
  <si>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</si>
  <si>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</si>
  <si>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</si>
  <si>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</si>
  <si>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</si>
  <si>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</si>
  <si>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</si>
  <si>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</si>
  <si>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</si>
  <si>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</si>
  <si>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</si>
  <si>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</si>
  <si>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</si>
  <si>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</si>
  <si>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</si>
  <si>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</si>
  <si>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</si>
  <si>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</si>
  <si>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</si>
  <si>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</si>
  <si>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</si>
  <si>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</si>
  <si>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</si>
  <si>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</si>
  <si>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</si>
  <si>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</si>
  <si>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</si>
  <si>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</si>
  <si>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</si>
  <si>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</si>
  <si>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</si>
  <si>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</si>
  <si>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</si>
  <si>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</si>
  <si>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</si>
  <si>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</si>
  <si>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</si>
  <si>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</si>
  <si>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</si>
  <si>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</si>
  <si>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</si>
  <si>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</si>
  <si>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</si>
  <si>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</si>
  <si>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</si>
  <si>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</si>
  <si>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</si>
  <si>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</si>
  <si>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</si>
  <si>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</si>
  <si>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</si>
  <si>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</si>
  <si>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</si>
  <si>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</si>
  <si>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</si>
  <si>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</si>
  <si>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</si>
  <si>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</si>
  <si>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</si>
  <si>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</si>
  <si>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</si>
  <si>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</si>
  <si>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</si>
  <si>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</si>
  <si>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</si>
  <si>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</si>
  <si>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</si>
  <si>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</si>
  <si>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</si>
  <si>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</si>
  <si>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</si>
  <si>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</si>
  <si>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</si>
  <si>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</si>
  <si>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</si>
  <si>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</si>
  <si>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</si>
  <si>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</si>
  <si>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</si>
  <si>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</si>
  <si>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9089666 KRYTKA PRO RAMÍNKO SENSYS BEZ LOGA</t>
  </si>
  <si>
    <t>HETTICH 9089666 COVER FOR SENSYS HANDLEBAR WITHOUT LOGO</t>
  </si>
  <si>
    <t>J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</si>
  <si>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</si>
  <si>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</si>
  <si>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</si>
  <si>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</si>
  <si>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>HETTICH 9114769 KRYTKA RAMÍNKA INTERMAT PLAST ŠEDÝ BEZ LOGA</t>
  </si>
  <si>
    <t>HETTICH 9114769 COVER INTERMAT PLASTIC GRAY WITHOUT LOGO</t>
  </si>
  <si>
    <t>HETTICH 9313092 NOVISYS KRYTKA NA RAMÍNKO BEZ LOGA</t>
  </si>
  <si>
    <t>HETTICH 9313092 NOVISYS HANDLEBAR CAP WITHOUT LOGO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</si>
  <si>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</si>
  <si>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</si>
  <si>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</si>
  <si>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</si>
  <si>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</si>
  <si>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</si>
  <si>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</si>
  <si>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</si>
  <si>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</si>
  <si>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</si>
  <si>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</si>
  <si>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</si>
  <si>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</si>
  <si>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</si>
  <si>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</si>
  <si>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</si>
  <si>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</si>
  <si>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</si>
  <si>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</si>
  <si>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</si>
  <si>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</si>
  <si>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</si>
  <si>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</si>
  <si>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</si>
  <si>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</si>
  <si>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</si>
  <si>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</si>
  <si>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</si>
  <si>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</si>
  <si>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</si>
  <si>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</si>
  <si>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</si>
  <si>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</si>
  <si>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</si>
  <si>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</si>
  <si>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</si>
  <si>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</si>
  <si>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</si>
  <si>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</si>
  <si>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</si>
  <si>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</si>
  <si>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</si>
  <si>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</si>
  <si>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</si>
  <si>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</si>
  <si>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518933 HETTICH 9114769 KRYTKA RAMÍNKA INTERMAT PLAST ŠEDÝ BEZ LOGA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</si>
  <si>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</si>
  <si>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</si>
  <si>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</si>
  <si>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</si>
  <si>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518905 HETTICH 9089666 KRYTKA PRO RAMÍNKO SENSYS BEZ LOGA</t>
  </si>
  <si>
    <t>344734 HETTICH 9091822 Sensys krytka pro misku TH OBS</t>
  </si>
  <si>
    <t>519149 HETTICH 9313092 NOVISYS KRYTKA NA RAMÍNKO BEZ LOGA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</si>
  <si>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</si>
  <si>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</si>
  <si>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</si>
  <si>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</si>
  <si>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</si>
  <si>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</si>
  <si>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</si>
  <si>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</si>
  <si>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</si>
  <si>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</si>
  <si>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</si>
  <si>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</si>
  <si>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Výše uvedená cena je finální, nelze uplatnit jakékoliv slevy.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</si>
  <si>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</si>
  <si>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</si>
  <si>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</si>
  <si>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</si>
  <si>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</si>
  <si>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</si>
  <si>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</si>
  <si>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</si>
  <si>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</si>
  <si>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</si>
  <si>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</si>
  <si>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</si>
  <si>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</si>
  <si>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</si>
  <si>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</si>
  <si>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</si>
  <si>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</si>
  <si>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</si>
  <si>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</si>
  <si>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</si>
  <si>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</si>
  <si>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</si>
  <si>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</si>
  <si>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</si>
  <si>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</si>
  <si>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</si>
  <si>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</si>
  <si>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</si>
  <si>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Vyššie uvedená cena je finálna, nie je možné uplatniť akékoľvek zľavy.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</si>
  <si>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</si>
  <si>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</si>
  <si>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</si>
  <si>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</si>
  <si>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</si>
  <si>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</si>
  <si>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</si>
  <si>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</si>
  <si>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</si>
  <si>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</si>
  <si>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</si>
  <si>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</si>
  <si>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</si>
  <si>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</si>
  <si>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</si>
  <si>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</si>
  <si>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</si>
  <si>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</si>
  <si>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</si>
  <si>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</si>
  <si>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</si>
  <si>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</si>
  <si>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</si>
  <si>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</si>
  <si>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</si>
  <si>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</si>
  <si>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</si>
  <si>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</si>
  <si>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</si>
  <si>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</si>
  <si>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</si>
  <si>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</si>
  <si>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</si>
  <si>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</si>
  <si>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</si>
  <si>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</si>
  <si>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</si>
  <si>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</si>
  <si>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</si>
  <si>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</si>
  <si>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</si>
  <si>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</si>
  <si>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 feltüntetett ár végleges, nem alkalmazható árengedmény.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</si>
  <si>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</si>
  <si>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</si>
  <si>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</si>
  <si>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</si>
  <si>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</si>
  <si>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</si>
  <si>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</si>
  <si>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</si>
  <si>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</si>
  <si>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</si>
  <si>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</si>
  <si>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</si>
  <si>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</si>
  <si>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</si>
  <si>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</si>
  <si>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</si>
  <si>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</si>
  <si>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</si>
  <si>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</si>
  <si>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</si>
  <si>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</si>
  <si>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</si>
  <si>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</si>
  <si>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</si>
  <si>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</si>
  <si>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</si>
  <si>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</si>
  <si>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</si>
  <si>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</si>
  <si>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</si>
  <si>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</si>
  <si>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</si>
  <si>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</si>
  <si>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</si>
  <si>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</si>
  <si>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</si>
  <si>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</si>
  <si>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</si>
  <si>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</si>
  <si>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</si>
  <si>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</si>
  <si>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</si>
  <si>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</si>
  <si>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Powyższa cena jest ostateczna, nie można zastosować żadnych rabatów.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</si>
  <si>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</si>
  <si>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</si>
  <si>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</si>
  <si>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</si>
  <si>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</si>
  <si>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</si>
  <si>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</si>
  <si>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</si>
  <si>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</si>
  <si>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</si>
  <si>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</si>
  <si>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</si>
  <si>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</si>
  <si>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</si>
  <si>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</si>
  <si>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</si>
  <si>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</si>
  <si>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</si>
  <si>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</si>
  <si>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</si>
  <si>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</si>
  <si>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</si>
  <si>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</si>
  <si>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</si>
  <si>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</si>
  <si>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</si>
  <si>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</si>
  <si>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</si>
  <si>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</si>
  <si>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</si>
  <si>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</si>
  <si>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</si>
  <si>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</si>
  <si>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</si>
  <si>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</si>
  <si>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</si>
  <si>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</si>
  <si>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</si>
  <si>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</si>
  <si>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</si>
  <si>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</si>
  <si>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</si>
  <si>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Send the filled out from to export@demos-trade.com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</si>
  <si>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</si>
  <si>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</si>
  <si>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</si>
  <si>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</si>
  <si>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</si>
  <si>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</si>
  <si>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</si>
  <si>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</si>
  <si>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shown above is final; no discounts can be applied.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</si>
  <si>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</si>
  <si>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</si>
  <si>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</si>
  <si>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</si>
  <si>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</si>
  <si>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</si>
  <si>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</si>
  <si>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</si>
  <si>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</si>
  <si>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</si>
  <si>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</si>
  <si>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</si>
  <si>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</si>
  <si>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</si>
  <si>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</si>
  <si>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</si>
  <si>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</si>
  <si>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</si>
  <si>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</si>
  <si>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</si>
  <si>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</si>
  <si>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</si>
  <si>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</si>
  <si>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</si>
  <si>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</si>
  <si>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</si>
  <si>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</si>
  <si>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</si>
  <si>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</si>
  <si>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</si>
  <si>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</si>
  <si>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</si>
  <si>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</si>
  <si>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</si>
  <si>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</si>
  <si>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</si>
  <si>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</si>
  <si>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</si>
  <si>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</si>
  <si>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</si>
  <si>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</si>
  <si>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</si>
  <si>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</si>
  <si>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</si>
  <si>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</si>
  <si>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</si>
  <si>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</si>
  <si>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</si>
  <si>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</si>
  <si>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</si>
  <si>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</si>
  <si>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</si>
  <si>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indiqué est final — aucune remise supplémentaire ne peut être appliquée.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</si>
  <si>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</si>
  <si>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</si>
  <si>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</si>
  <si>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</si>
  <si>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</si>
  <si>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</si>
  <si>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asdfas</t>
  </si>
  <si>
    <t>Takaró konfigurátor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</si>
</sst>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/>
    <xf numFmtId="0" fontId="22" fillId="0" borderId="0"/>
  </cellStyleXfs>
  <cellXfs count="95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1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7" fillId="0" borderId="0" xfId="0" applyFont="1"/>
    <xf numFmtId="164" fontId="25" fillId="0" borderId="2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Protection="1">
      <protection hidden="1"/>
    </xf>
    <xf numFmtId="164" fontId="23" fillId="0" borderId="9" xfId="1" applyNumberFormat="1" applyFont="1" applyBorder="1" applyAlignment="1" applyProtection="1">
      <alignment vertical="center" shrinkToFit="1"/>
      <protection hidden="1"/>
    </xf>
    <xf numFmtId="0" fontId="24" fillId="0" borderId="1" xfId="0" applyFont="1" applyBorder="1" applyAlignment="1" applyProtection="1">
      <alignment horizontal="left" vertical="center"/>
      <protection hidden="1"/>
    </xf>
    <xf numFmtId="2" fontId="19" fillId="0" borderId="2" xfId="0" applyNumberFormat="1" applyFont="1" applyBorder="1" applyAlignment="1" applyProtection="1">
      <alignment horizontal="right" vertical="center"/>
      <protection hidden="1"/>
    </xf>
    <xf numFmtId="2" fontId="24" fillId="0" borderId="9" xfId="0" applyNumberFormat="1" applyFont="1" applyBorder="1" applyAlignment="1" applyProtection="1">
      <alignment horizontal="left" vertical="center"/>
      <protection hidden="1"/>
    </xf>
    <xf numFmtId="2" fontId="28" fillId="0" borderId="0" xfId="0" applyNumberFormat="1" applyFont="1" applyAlignment="1" applyProtection="1">
      <alignment horizontal="center" vertical="center"/>
      <protection hidden="1"/>
    </xf>
    <xf numFmtId="2" fontId="28" fillId="0" borderId="0" xfId="0" applyNumberFormat="1" applyFont="1" applyAlignment="1" applyProtection="1">
      <alignment horizontal="right" vertical="center"/>
      <protection hidden="1"/>
    </xf>
    <xf numFmtId="2" fontId="28" fillId="0" borderId="0" xfId="0" applyNumberFormat="1" applyFont="1" applyAlignment="1" applyProtection="1">
      <alignment horizontal="left" vertical="center"/>
      <protection hidden="1"/>
    </xf>
    <xf numFmtId="0" fontId="0" fillId="0" borderId="0" xfId="0" applyAlignment="1" applyProtection="1">
      <alignment wrapText="1"/>
      <protection hidden="1"/>
    </xf>
    <xf numFmtId="0" fontId="26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7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0" fontId="0" fillId="0" borderId="8" xfId="0" applyBorder="1" applyProtection="1">
      <protection hidden="1"/>
    </xf>
    <xf numFmtId="0" fontId="23" fillId="0" borderId="1" xfId="0" applyFont="1" applyBorder="1" applyAlignment="1" applyProtection="1">
      <alignment vertical="center"/>
      <protection hidden="1"/>
    </xf>
    <xf numFmtId="0" fontId="25" fillId="0" borderId="2" xfId="0" applyFont="1" applyBorder="1" applyAlignment="1" applyProtection="1">
      <alignment vertical="center"/>
      <protection locked="0" hidden="1"/>
    </xf>
    <xf numFmtId="0" fontId="23" fillId="0" borderId="9" xfId="0" applyFont="1" applyBorder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23" fillId="0" borderId="0" xfId="0" applyFont="1" applyProtection="1">
      <protection hidden="1"/>
    </xf>
    <xf numFmtId="0" fontId="23" fillId="0" borderId="7" xfId="0" applyFont="1" applyBorder="1" applyProtection="1"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3" fillId="0" borderId="0" xfId="0" applyFont="1" applyAlignment="1" applyProtection="1">
      <alignment wrapText="1"/>
      <protection hidden="1"/>
    </xf>
    <xf numFmtId="0" fontId="13" fillId="0" borderId="0" xfId="0" applyFont="1" applyProtection="1">
      <protection hidden="1"/>
    </xf>
    <xf numFmtId="0" fontId="21" fillId="0" borderId="0" xfId="9"/>
    <xf numFmtId="49" fontId="21" fillId="0" borderId="0" xfId="9" applyNumberFormat="1"/>
    <xf numFmtId="0" fontId="16" fillId="0" borderId="0" xfId="0" applyFont="1" applyAlignment="1" applyProtection="1">
      <alignment horizontal="center" vertical="center" wrapText="1"/>
      <protection hidden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top"/>
    </xf>
    <xf numFmtId="0" fontId="19" fillId="2" borderId="0" xfId="2" applyFont="1" applyFill="1" applyBorder="1" applyAlignment="1" applyProtection="1">
      <alignment horizontal="center" vertical="center"/>
      <protection locked="0" hidden="1"/>
    </xf>
    <xf numFmtId="0" fontId="4" fillId="0" borderId="0" xfId="0" applyFont="1" applyAlignment="1">
      <alignment horizontal="center"/>
    </xf>
    <xf numFmtId="0" fontId="19" fillId="2" borderId="3" xfId="2" applyFont="1" applyFill="1" applyBorder="1" applyAlignment="1" applyProtection="1">
      <alignment horizontal="center" vertical="center"/>
      <protection locked="0" hidden="1"/>
    </xf>
    <xf numFmtId="0" fontId="20" fillId="0" borderId="0" xfId="0" applyFont="1" applyAlignment="1" applyProtection="1">
      <alignment horizontal="left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10" fillId="2" borderId="3" xfId="4" applyFont="1" applyFill="1" applyBorder="1" applyAlignment="1" applyProtection="1">
      <alignment horizontal="center" vertical="center"/>
      <protection locked="0" hidden="1"/>
    </xf>
    <xf numFmtId="0" fontId="10" fillId="2" borderId="0" xfId="4" applyFont="1" applyFill="1" applyBorder="1" applyAlignment="1" applyProtection="1">
      <alignment horizontal="center" vertical="center"/>
      <protection locked="0" hidden="1"/>
    </xf>
    <xf numFmtId="0" fontId="14" fillId="0" borderId="0" xfId="0" applyFont="1" applyAlignment="1" applyProtection="1">
      <alignment horizontal="left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0" fillId="0" borderId="0" xfId="0" applyAlignment="1">
      <alignment horizontal="center" wrapText="1"/>
    </xf>
    <xf numFmtId="0" fontId="18" fillId="2" borderId="0" xfId="2" applyFont="1" applyFill="1" applyBorder="1" applyAlignment="1" applyProtection="1">
      <alignment horizontal="center" vertical="center"/>
      <protection locked="0" hidden="1"/>
    </xf>
    <xf numFmtId="0" fontId="23" fillId="0" borderId="2" xfId="0" applyFont="1" applyBorder="1" applyAlignment="1" applyProtection="1">
      <alignment horizontal="center"/>
      <protection locked="0" hidden="1"/>
    </xf>
    <xf numFmtId="0" fontId="23" fillId="0" borderId="9" xfId="0" applyFont="1" applyBorder="1" applyAlignment="1" applyProtection="1">
      <alignment horizontal="center"/>
      <protection locked="0" hidden="1"/>
    </xf>
    <xf numFmtId="0" fontId="23" fillId="0" borderId="2" xfId="0" applyFont="1" applyBorder="1" applyAlignment="1" applyProtection="1">
      <alignment horizontal="center" vertical="center"/>
      <protection locked="0" hidden="1"/>
    </xf>
    <xf numFmtId="0" fontId="23" fillId="0" borderId="7" xfId="0" applyFont="1" applyBorder="1" applyAlignment="1" applyProtection="1">
      <alignment horizontal="center" vertical="center"/>
      <protection locked="0" hidden="1"/>
    </xf>
    <xf numFmtId="0" fontId="23" fillId="0" borderId="2" xfId="0" applyFont="1" applyBorder="1" applyAlignment="1" applyProtection="1">
      <alignment horizontal="center" vertical="center" wrapText="1"/>
      <protection locked="0" hidden="1"/>
    </xf>
    <xf numFmtId="0" fontId="23" fillId="0" borderId="7" xfId="0" applyFont="1" applyBorder="1" applyAlignment="1" applyProtection="1">
      <alignment horizontal="center" vertical="center" wrapText="1"/>
      <protection locked="0" hidden="1"/>
    </xf>
    <xf numFmtId="0" fontId="25" fillId="0" borderId="7" xfId="0" applyFont="1" applyBorder="1" applyAlignment="1" applyProtection="1">
      <alignment horizontal="center"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1" fontId="23" fillId="0" borderId="2" xfId="0" applyNumberFormat="1" applyFont="1" applyBorder="1" applyAlignment="1" applyProtection="1">
      <alignment horizontal="right" indent="15"/>
      <protection locked="0" hidden="1"/>
    </xf>
    <xf numFmtId="1" fontId="23" fillId="0" borderId="9" xfId="0" applyNumberFormat="1" applyFont="1" applyBorder="1" applyAlignment="1" applyProtection="1">
      <alignment horizontal="right" indent="15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8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9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428970</xdr:colOff>
      <xdr:row>18</xdr:row>
      <xdr:rowOff>55629</xdr:rowOff>
    </xdr:from>
    <xdr:to>
      <xdr:col>4</xdr:col>
      <xdr:colOff>342899</xdr:colOff>
      <xdr:row>19</xdr:row>
      <xdr:rowOff>220308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770" y="279120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5</xdr:row>
      <xdr:rowOff>45720</xdr:rowOff>
    </xdr:from>
    <xdr:to>
      <xdr:col>4</xdr:col>
      <xdr:colOff>324000</xdr:colOff>
      <xdr:row>7</xdr:row>
      <xdr:rowOff>19200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9325" y="998220"/>
          <a:ext cx="324000" cy="3544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241730</xdr:colOff>
      <xdr:row>4</xdr:row>
      <xdr:rowOff>0</xdr:rowOff>
    </xdr:from>
    <xdr:to>
      <xdr:col>12</xdr:col>
      <xdr:colOff>169545</xdr:colOff>
      <xdr:row>12</xdr:row>
      <xdr:rowOff>168593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57205" y="1019175"/>
          <a:ext cx="3692095" cy="282035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>
      <selection activeCell="L2" sqref="L2:M2"/>
    </sheetView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6" t="str">
        <f>překlady!B39</f>
        <v>Tovább &gt;</v>
      </c>
      <c r="M2" s="66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7" t="str">
        <f>překlady!B5</f>
        <v>Takaró konfigurátor</v>
      </c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Változat 1.00</v>
      </c>
    </row>
    <row r="29" spans="1:14" hidden="1" x14ac:dyDescent="0.25">
      <c r="N29" s="27">
        <v>4</v>
      </c>
    </row>
  </sheetData>
  <sheetProtection algorithmName="SHA-512" hashValue="NEZVUmjUg4vGsXm1gWyoLDdVGn1s1ta1g65jQdwq7Yet3qsRR57O7Onf/uB8Kc6R3Wi/ynLEl60tJfLiByWfGw==" saltValue="hzbvYvBkIxd7V7mHwOhtuw==" spinCount="100000" sheet="1" selectLockedCells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8" t="str">
        <f>překlady!B28</f>
        <v>Kezdőlap</v>
      </c>
      <c r="R2" s="66"/>
      <c r="S2" s="66"/>
      <c r="T2" s="66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8"/>
      <c r="R3" s="66"/>
      <c r="S3" s="66"/>
      <c r="T3" s="66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69" t="str">
        <f>překlady!B29</f>
        <v>Mindig a honlapunkon elérhető legfrissebb űrlapot használja.</v>
      </c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</row>
    <row r="8" spans="1:23" ht="15.75" customHeight="1" x14ac:dyDescent="0.25">
      <c r="E8" s="14" t="str">
        <f>překlady!B30</f>
        <v xml:space="preserve">Kérjük, töltse ki elérhetőségi adatait, majd kattintson a kívánt mezőre az alábbiakban. </v>
      </c>
    </row>
    <row r="9" spans="1:23" ht="10.9" customHeight="1" x14ac:dyDescent="0.25"/>
    <row r="10" spans="1:23" ht="6.6" customHeight="1" x14ac:dyDescent="0.25"/>
    <row r="11" spans="1:23" x14ac:dyDescent="0.25">
      <c r="E11" s="70" t="str">
        <f>překlady!B31</f>
        <v>Rendelés száma</v>
      </c>
      <c r="F11" s="70"/>
      <c r="G11" s="70"/>
      <c r="H11" s="70"/>
      <c r="I11" s="70"/>
      <c r="J11" s="15"/>
      <c r="K11" s="71"/>
      <c r="L11" s="71"/>
      <c r="M11" s="71"/>
      <c r="N11" s="71"/>
      <c r="O11" s="71"/>
      <c r="P11" s="71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0" t="str">
        <f>překlady!B32</f>
        <v>Partner</v>
      </c>
      <c r="F13" s="70"/>
      <c r="G13" s="70"/>
      <c r="H13" s="70"/>
      <c r="I13" s="70"/>
      <c r="J13" s="15"/>
      <c r="K13" s="71"/>
      <c r="L13" s="71"/>
      <c r="M13" s="71"/>
      <c r="N13" s="71"/>
      <c r="O13" s="71"/>
      <c r="P13" s="71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0" t="str">
        <f>překlady!B33</f>
        <v>VAT EU:</v>
      </c>
      <c r="F15" s="70"/>
      <c r="G15" s="70"/>
      <c r="H15" s="70"/>
      <c r="I15" s="70"/>
      <c r="J15" s="15"/>
      <c r="K15" s="71"/>
      <c r="L15" s="71"/>
      <c r="M15" s="71"/>
      <c r="N15" s="71"/>
      <c r="O15" s="71"/>
      <c r="P15" s="71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0" t="str">
        <f>překlady!B34</f>
        <v>Kapcsolattartó telefonszám</v>
      </c>
      <c r="F17" s="70"/>
      <c r="G17" s="70"/>
      <c r="H17" s="70"/>
      <c r="I17" s="70"/>
      <c r="J17" s="15"/>
      <c r="K17" s="71"/>
      <c r="L17" s="71"/>
      <c r="M17" s="71"/>
      <c r="N17" s="71"/>
      <c r="O17" s="71"/>
      <c r="P17" s="71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x14ac:dyDescent="0.25">
      <c r="E19" s="21"/>
      <c r="F19" s="21"/>
      <c r="G19" s="21"/>
      <c r="H19" s="21"/>
      <c r="I19" s="21"/>
      <c r="J19" s="22"/>
      <c r="K19" s="21"/>
      <c r="L19" s="21"/>
      <c r="M19" s="21"/>
      <c r="N19" s="21"/>
      <c r="O19" s="21"/>
      <c r="P19" s="21" t="s">
        <v>574</v>
      </c>
    </row>
    <row r="20" spans="2:19" ht="23.25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A feltüntetett árak nem tartalmaznak áfát!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8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60" t="str">
        <f>překlady!B36</f>
        <v xml:space="preserve">A űrlapot mindig felülről lefelé haladva kell kitölteni. Ha visszalépve módosítást hajt végre, ellenőrizze, hogy a következő tételek helyesek-e. </v>
      </c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</row>
    <row r="25" spans="2:19" x14ac:dyDescent="0.25">
      <c r="E25" s="78" t="str">
        <f>překlady!B41</f>
        <v>A megrendeléshez mellékelni kell a logó grafikai alapját vektorokban és a Pantone színskálán szereplő színekben.</v>
      </c>
      <c r="F25" s="78"/>
      <c r="G25" s="78"/>
      <c r="H25" s="78"/>
      <c r="I25" s="78"/>
      <c r="J25" s="78"/>
      <c r="K25" s="78"/>
      <c r="L25" s="78"/>
      <c r="M25" s="78"/>
      <c r="N25" s="78"/>
      <c r="O25" s="78"/>
      <c r="P25" s="78"/>
    </row>
    <row r="26" spans="2:19" x14ac:dyDescent="0.25">
      <c r="E26" s="17"/>
    </row>
    <row r="27" spans="2:19" x14ac:dyDescent="0.25">
      <c r="E27" s="78" t="str">
        <f>překlady!B37</f>
        <v>A kitöltött megrendelést küldje el a megrendelesek@demos-trade.com címre.</v>
      </c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Megerősítem, hogy megértettem és elfogadom a fent említett feltételeket és ajánlásokat.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8" t="str">
        <f>překlady!B40</f>
        <v>&lt; Vissza</v>
      </c>
      <c r="C32" s="66"/>
      <c r="J32" s="73"/>
      <c r="R32" s="75" t="str">
        <f>překlady!B39</f>
        <v>Tovább &gt;</v>
      </c>
      <c r="S32" s="76"/>
    </row>
    <row r="33" spans="2:19" ht="15.75" customHeight="1" thickBot="1" x14ac:dyDescent="0.3">
      <c r="B33" s="68"/>
      <c r="C33" s="66"/>
      <c r="J33" s="74"/>
      <c r="R33" s="75"/>
      <c r="S33" s="76"/>
    </row>
    <row r="35" spans="2:19" x14ac:dyDescent="0.25"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</row>
    <row r="36" spans="2:19" x14ac:dyDescent="0.25"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2:19" x14ac:dyDescent="0.25"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  <row r="38" spans="2:19" x14ac:dyDescent="0.25"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</row>
    <row r="40" spans="2:19" x14ac:dyDescent="0.25"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</row>
    <row r="41" spans="2:19" x14ac:dyDescent="0.25"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</row>
  </sheetData>
  <sheetProtection algorithmName="SHA-512" hashValue="A8W1Vkbk/8FNbBpI03hTTZCq/2Jk8l/eEp0vpwGbyucwYZeiKFAQb8hnBLURXgn75EaBz+c3/piyhT09GlvznA==" saltValue="GbMdQhABubTE3fC3pGGjJA==" spinCount="100000" sheet="1" selectLockedCells="1"/>
  <mergeCells count="21">
    <mergeCell ref="E37:P37"/>
    <mergeCell ref="E38:P38"/>
    <mergeCell ref="E40:P41"/>
    <mergeCell ref="E25:P25"/>
    <mergeCell ref="E27:P27"/>
    <mergeCell ref="B32:C33"/>
    <mergeCell ref="J32:J33"/>
    <mergeCell ref="R32:S33"/>
    <mergeCell ref="E35:P35"/>
    <mergeCell ref="E36:P36"/>
    <mergeCell ref="E21:P21"/>
    <mergeCell ref="E15:I15"/>
    <mergeCell ref="K15:P15"/>
    <mergeCell ref="E17:I17"/>
    <mergeCell ref="K17:P17"/>
    <mergeCell ref="Q2:T3"/>
    <mergeCell ref="H5:S5"/>
    <mergeCell ref="E11:I11"/>
    <mergeCell ref="K11:P11"/>
    <mergeCell ref="E13:I13"/>
    <mergeCell ref="K13:P13"/>
  </mergeCells>
  <conditionalFormatting sqref="R32:S33">
    <cfRule type="expression" dxfId="8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2"/>
  <sheetViews>
    <sheetView workbookViewId="0">
      <selection activeCell="F6" sqref="F6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Változat </v>
      </c>
      <c r="B1" t="s">
        <v>0</v>
      </c>
      <c r="D1">
        <f>Úvod!N29</f>
        <v>4</v>
      </c>
    </row>
    <row r="2" spans="1:15" x14ac:dyDescent="0.25"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528</v>
      </c>
    </row>
    <row r="3" spans="1:15" x14ac:dyDescent="0.25">
      <c r="B3" t="str">
        <f>IF($D$1=1,C:C,IF($D$1=2,D:D,IF($D$1=3,E:E,IF($D$1=4,F:F,IF($D$1=5,G:G,IF($D$1=6,H:H))))))</f>
        <v>madarsky</v>
      </c>
      <c r="C3" t="s">
        <v>6</v>
      </c>
      <c r="D3" t="s">
        <v>7</v>
      </c>
      <c r="E3" t="s">
        <v>8</v>
      </c>
      <c r="F3" t="s">
        <v>9</v>
      </c>
      <c r="G3" t="s">
        <v>10</v>
      </c>
      <c r="H3" t="s">
        <v>571</v>
      </c>
    </row>
    <row r="4" spans="1:15" x14ac:dyDescent="0.25">
      <c r="B4" t="str">
        <f t="shared" ref="B4:B52" si="0">IF($D$1=1,C:C,IF($D$1=2,D:D,IF($D$1=3,E:E,IF($D$1=4,F:F,IF($D$1=5,G:G,IF($D$1=6,H:H))))))</f>
        <v xml:space="preserve">Változat </v>
      </c>
      <c r="C4" t="s">
        <v>424</v>
      </c>
      <c r="D4" t="s">
        <v>425</v>
      </c>
      <c r="E4" t="s">
        <v>472</v>
      </c>
      <c r="F4" t="s">
        <v>473</v>
      </c>
      <c r="G4" s="57" t="s">
        <v>518</v>
      </c>
      <c r="H4" t="s">
        <v>518</v>
      </c>
    </row>
    <row r="5" spans="1:15" x14ac:dyDescent="0.25">
      <c r="B5" t="str">
        <f t="shared" si="0"/>
        <v>Takaró konfigurátor</v>
      </c>
      <c r="C5" t="s">
        <v>11</v>
      </c>
      <c r="D5" t="s">
        <v>349</v>
      </c>
      <c r="E5" t="s">
        <v>429</v>
      </c>
      <c r="F5" t="s">
        <v>575</v>
      </c>
      <c r="G5" s="57" t="s">
        <v>474</v>
      </c>
      <c r="H5" s="64" t="s">
        <v>529</v>
      </c>
    </row>
    <row r="6" spans="1:15" x14ac:dyDescent="0.25">
      <c r="B6" t="str">
        <f t="shared" si="0"/>
        <v>A takarósapka anyaga</v>
      </c>
      <c r="C6" t="s">
        <v>14</v>
      </c>
      <c r="D6" t="s">
        <v>14</v>
      </c>
      <c r="E6" t="s">
        <v>430</v>
      </c>
      <c r="F6" t="s">
        <v>379</v>
      </c>
      <c r="G6" s="57" t="s">
        <v>475</v>
      </c>
      <c r="H6" s="32" t="s">
        <v>530</v>
      </c>
    </row>
    <row r="7" spans="1:15" x14ac:dyDescent="0.25">
      <c r="A7">
        <v>1</v>
      </c>
      <c r="B7" t="str">
        <f t="shared" si="0"/>
        <v>Műanyag</v>
      </c>
      <c r="C7" t="s">
        <v>12</v>
      </c>
      <c r="D7" t="s">
        <v>12</v>
      </c>
      <c r="E7" t="s">
        <v>431</v>
      </c>
      <c r="F7" t="s">
        <v>380</v>
      </c>
      <c r="G7" s="57" t="s">
        <v>476</v>
      </c>
      <c r="H7" t="s">
        <v>531</v>
      </c>
    </row>
    <row r="8" spans="1:15" x14ac:dyDescent="0.25">
      <c r="A8">
        <v>2</v>
      </c>
      <c r="B8" t="str">
        <f t="shared" si="0"/>
        <v>Fém</v>
      </c>
      <c r="C8" t="s">
        <v>13</v>
      </c>
      <c r="D8" t="s">
        <v>13</v>
      </c>
      <c r="E8" t="s">
        <v>432</v>
      </c>
      <c r="F8" t="s">
        <v>381</v>
      </c>
      <c r="G8" s="57" t="s">
        <v>432</v>
      </c>
      <c r="H8" t="s">
        <v>532</v>
      </c>
    </row>
    <row r="9" spans="1:15" x14ac:dyDescent="0.25">
      <c r="B9" t="str">
        <f t="shared" si="0"/>
        <v>Mennyiség (min. 50 db)</v>
      </c>
      <c r="C9" t="s">
        <v>256</v>
      </c>
      <c r="D9" t="s">
        <v>350</v>
      </c>
      <c r="E9" t="s">
        <v>433</v>
      </c>
      <c r="F9" t="s">
        <v>382</v>
      </c>
      <c r="G9" s="57" t="s">
        <v>477</v>
      </c>
      <c r="H9" s="32" t="s">
        <v>533</v>
      </c>
    </row>
    <row r="10" spans="1:15" x14ac:dyDescent="0.25">
      <c r="B10" t="str">
        <f t="shared" si="0"/>
        <v>A logó színeinek száma (1-4)</v>
      </c>
      <c r="C10" t="s">
        <v>15</v>
      </c>
      <c r="D10" t="s">
        <v>351</v>
      </c>
      <c r="E10" t="s">
        <v>434</v>
      </c>
      <c r="F10" t="s">
        <v>383</v>
      </c>
      <c r="G10" s="57" t="s">
        <v>478</v>
      </c>
      <c r="H10" s="32" t="s">
        <v>534</v>
      </c>
    </row>
    <row r="11" spans="1:15" x14ac:dyDescent="0.25">
      <c r="B11" t="str">
        <f t="shared" si="0"/>
        <v>Nyomtatási díj</v>
      </c>
      <c r="C11" t="s">
        <v>223</v>
      </c>
      <c r="D11" t="s">
        <v>352</v>
      </c>
      <c r="E11" t="s">
        <v>435</v>
      </c>
      <c r="F11" t="s">
        <v>384</v>
      </c>
      <c r="G11" s="57" t="s">
        <v>479</v>
      </c>
      <c r="H11" s="32" t="s">
        <v>535</v>
      </c>
    </row>
    <row r="12" spans="1:15" x14ac:dyDescent="0.25">
      <c r="B12" t="str">
        <f t="shared" si="0"/>
        <v>Ismételt nyomtatás?</v>
      </c>
      <c r="C12" t="s">
        <v>29</v>
      </c>
      <c r="D12" t="s">
        <v>353</v>
      </c>
      <c r="E12" t="s">
        <v>436</v>
      </c>
      <c r="F12" t="s">
        <v>385</v>
      </c>
      <c r="G12" s="57" t="s">
        <v>480</v>
      </c>
      <c r="H12" s="32" t="s">
        <v>536</v>
      </c>
    </row>
    <row r="13" spans="1:15" ht="15" customHeight="1" x14ac:dyDescent="0.25">
      <c r="B13" t="str">
        <f t="shared" si="0"/>
        <v>igen, ugyanez a rendelés már korábban is megvalósult</v>
      </c>
      <c r="C13" t="s">
        <v>341</v>
      </c>
      <c r="D13" t="s">
        <v>354</v>
      </c>
      <c r="E13" t="s">
        <v>467</v>
      </c>
      <c r="F13" t="s">
        <v>386</v>
      </c>
      <c r="G13" s="57" t="s">
        <v>481</v>
      </c>
      <c r="H13" t="s">
        <v>537</v>
      </c>
      <c r="N13" s="79" t="s">
        <v>334</v>
      </c>
      <c r="O13" t="s">
        <v>30</v>
      </c>
    </row>
    <row r="14" spans="1:15" x14ac:dyDescent="0.25">
      <c r="B14" t="str">
        <f t="shared" si="0"/>
        <v>nem, ez egy új rendelés</v>
      </c>
      <c r="C14" t="s">
        <v>342</v>
      </c>
      <c r="D14" t="s">
        <v>355</v>
      </c>
      <c r="E14" t="s">
        <v>468</v>
      </c>
      <c r="F14" t="s">
        <v>387</v>
      </c>
      <c r="G14" s="57" t="s">
        <v>482</v>
      </c>
      <c r="H14" t="s">
        <v>538</v>
      </c>
      <c r="N14" s="79"/>
      <c r="O14" t="s">
        <v>31</v>
      </c>
    </row>
    <row r="15" spans="1:15" x14ac:dyDescent="0.25">
      <c r="B15" t="str">
        <f t="shared" si="0"/>
        <v>Ismételt nyomtatás díja</v>
      </c>
      <c r="C15" t="s">
        <v>32</v>
      </c>
      <c r="D15" t="s">
        <v>356</v>
      </c>
      <c r="E15" t="s">
        <v>437</v>
      </c>
      <c r="F15" t="s">
        <v>388</v>
      </c>
      <c r="G15" s="57" t="s">
        <v>483</v>
      </c>
      <c r="H15" s="32" t="s">
        <v>539</v>
      </c>
    </row>
    <row r="16" spans="1:15" x14ac:dyDescent="0.25">
      <c r="B16" t="str">
        <f t="shared" si="0"/>
        <v>Előkészítési díj</v>
      </c>
      <c r="C16" t="s">
        <v>33</v>
      </c>
      <c r="D16" t="s">
        <v>357</v>
      </c>
      <c r="E16" t="s">
        <v>438</v>
      </c>
      <c r="F16" t="s">
        <v>389</v>
      </c>
      <c r="G16" s="57" t="s">
        <v>484</v>
      </c>
      <c r="H16" s="32" t="s">
        <v>540</v>
      </c>
    </row>
    <row r="17" spans="2:8" x14ac:dyDescent="0.25">
      <c r="B17" t="str">
        <f t="shared" si="0"/>
        <v>Grafikai előkészítés</v>
      </c>
      <c r="C17" t="s">
        <v>34</v>
      </c>
      <c r="D17" t="s">
        <v>358</v>
      </c>
      <c r="E17" s="32" t="s">
        <v>439</v>
      </c>
      <c r="F17" t="s">
        <v>390</v>
      </c>
      <c r="G17" s="57" t="s">
        <v>485</v>
      </c>
      <c r="H17" s="32" t="s">
        <v>541</v>
      </c>
    </row>
    <row r="18" spans="2:8" x14ac:dyDescent="0.25">
      <c r="B18" t="str">
        <f t="shared" si="0"/>
        <v>pánt</v>
      </c>
      <c r="C18" t="s">
        <v>231</v>
      </c>
      <c r="D18" t="s">
        <v>359</v>
      </c>
      <c r="E18" t="s">
        <v>440</v>
      </c>
      <c r="F18" t="s">
        <v>391</v>
      </c>
      <c r="G18" s="57" t="s">
        <v>486</v>
      </c>
      <c r="H18" s="32" t="s">
        <v>542</v>
      </c>
    </row>
    <row r="19" spans="2:8" x14ac:dyDescent="0.25">
      <c r="B19" t="str">
        <f t="shared" si="0"/>
        <v>fiók</v>
      </c>
      <c r="C19" t="s">
        <v>340</v>
      </c>
      <c r="D19" t="s">
        <v>340</v>
      </c>
      <c r="E19" t="s">
        <v>441</v>
      </c>
      <c r="F19" t="s">
        <v>392</v>
      </c>
      <c r="G19" s="57" t="s">
        <v>487</v>
      </c>
      <c r="H19" t="s">
        <v>543</v>
      </c>
    </row>
    <row r="20" spans="2:8" x14ac:dyDescent="0.25">
      <c r="B20" t="str">
        <f t="shared" si="0"/>
        <v>A takarósapka márkája</v>
      </c>
      <c r="C20" t="s">
        <v>229</v>
      </c>
      <c r="D20" t="s">
        <v>229</v>
      </c>
      <c r="E20" t="s">
        <v>442</v>
      </c>
      <c r="F20" t="s">
        <v>393</v>
      </c>
      <c r="G20" s="57" t="s">
        <v>488</v>
      </c>
      <c r="H20" s="32" t="s">
        <v>544</v>
      </c>
    </row>
    <row r="21" spans="2:8" x14ac:dyDescent="0.25">
      <c r="B21" t="str">
        <f t="shared" si="0"/>
        <v>Mire rendeli a sapkát?</v>
      </c>
      <c r="C21" t="s">
        <v>230</v>
      </c>
      <c r="D21" t="s">
        <v>360</v>
      </c>
      <c r="E21" t="s">
        <v>443</v>
      </c>
      <c r="F21" t="s">
        <v>394</v>
      </c>
      <c r="G21" s="57" t="s">
        <v>489</v>
      </c>
      <c r="H21" s="32" t="s">
        <v>545</v>
      </c>
    </row>
    <row r="22" spans="2:8" x14ac:dyDescent="0.25">
      <c r="B22" t="str">
        <f t="shared" si="0"/>
        <v>Alapár 1 db takarósapkáért</v>
      </c>
      <c r="C22" t="s">
        <v>213</v>
      </c>
      <c r="D22" t="s">
        <v>361</v>
      </c>
      <c r="E22" s="32" t="s">
        <v>444</v>
      </c>
      <c r="F22" t="s">
        <v>395</v>
      </c>
      <c r="G22" s="57" t="s">
        <v>490</v>
      </c>
      <c r="H22" s="32" t="s">
        <v>546</v>
      </c>
    </row>
    <row r="23" spans="2:8" x14ac:dyDescent="0.25">
      <c r="B23" t="str">
        <f t="shared" si="0"/>
        <v>Kedvezmény a takarósapkákra (%)</v>
      </c>
      <c r="C23" t="s">
        <v>227</v>
      </c>
      <c r="D23" t="s">
        <v>362</v>
      </c>
      <c r="E23" t="s">
        <v>445</v>
      </c>
      <c r="F23" t="s">
        <v>396</v>
      </c>
      <c r="G23" s="57" t="s">
        <v>491</v>
      </c>
      <c r="H23" s="32" t="s">
        <v>547</v>
      </c>
    </row>
    <row r="24" spans="2:8" x14ac:dyDescent="0.25">
      <c r="B24" t="str">
        <f t="shared" si="0"/>
        <v>A takarósapka ára kedvezmény után</v>
      </c>
      <c r="C24" t="s">
        <v>214</v>
      </c>
      <c r="D24" t="s">
        <v>363</v>
      </c>
      <c r="E24" t="s">
        <v>446</v>
      </c>
      <c r="F24" t="s">
        <v>397</v>
      </c>
      <c r="G24" s="57" t="s">
        <v>492</v>
      </c>
      <c r="H24" s="32" t="s">
        <v>548</v>
      </c>
    </row>
    <row r="25" spans="2:8" x14ac:dyDescent="0.25">
      <c r="B25" t="str">
        <f t="shared" si="0"/>
        <v>Válasszon egyet a lehetőségek közül:</v>
      </c>
      <c r="C25" t="s">
        <v>249</v>
      </c>
      <c r="D25" t="s">
        <v>249</v>
      </c>
      <c r="E25" t="s">
        <v>447</v>
      </c>
      <c r="F25" t="s">
        <v>398</v>
      </c>
      <c r="G25" s="57" t="s">
        <v>493</v>
      </c>
      <c r="H25" s="32" t="s">
        <v>549</v>
      </c>
    </row>
    <row r="26" spans="2:8" x14ac:dyDescent="0.25">
      <c r="B26" t="str">
        <f t="shared" si="0"/>
        <v>A nyomtatott takarósapkák teljes ára</v>
      </c>
      <c r="C26" t="s">
        <v>225</v>
      </c>
      <c r="D26" t="s">
        <v>364</v>
      </c>
      <c r="E26" t="s">
        <v>448</v>
      </c>
      <c r="F26" t="s">
        <v>399</v>
      </c>
      <c r="G26" s="57" t="s">
        <v>494</v>
      </c>
      <c r="H26" t="s">
        <v>550</v>
      </c>
    </row>
    <row r="27" spans="2:8" x14ac:dyDescent="0.25">
      <c r="B27" t="str">
        <f t="shared" si="0"/>
        <v>Ár 1 db nyomtatott takarósapkáért</v>
      </c>
      <c r="C27" t="s">
        <v>224</v>
      </c>
      <c r="D27" t="s">
        <v>365</v>
      </c>
      <c r="E27" t="s">
        <v>449</v>
      </c>
      <c r="F27" t="s">
        <v>400</v>
      </c>
      <c r="G27" s="57" t="s">
        <v>495</v>
      </c>
      <c r="H27" t="s">
        <v>551</v>
      </c>
    </row>
    <row r="28" spans="2:8" x14ac:dyDescent="0.25">
      <c r="B28" t="str">
        <f t="shared" si="0"/>
        <v>Kezdőlap</v>
      </c>
      <c r="C28" t="s">
        <v>228</v>
      </c>
      <c r="D28" t="s">
        <v>228</v>
      </c>
      <c r="E28" t="s">
        <v>450</v>
      </c>
      <c r="F28" t="s">
        <v>401</v>
      </c>
      <c r="G28" s="57" t="s">
        <v>496</v>
      </c>
      <c r="H28" s="64" t="s">
        <v>496</v>
      </c>
    </row>
    <row r="29" spans="2:8" ht="33.75" customHeight="1" x14ac:dyDescent="0.25">
      <c r="B29" t="str">
        <f t="shared" si="0"/>
        <v>Mindig a honlapunkon elérhető legfrissebb űrlapot használja.</v>
      </c>
      <c r="C29" t="s">
        <v>232</v>
      </c>
      <c r="D29" t="s">
        <v>366</v>
      </c>
      <c r="E29" t="s">
        <v>451</v>
      </c>
      <c r="F29" t="s">
        <v>402</v>
      </c>
      <c r="G29" s="58" t="s">
        <v>497</v>
      </c>
      <c r="H29" s="57" t="s">
        <v>552</v>
      </c>
    </row>
    <row r="30" spans="2:8" ht="21.75" customHeight="1" x14ac:dyDescent="0.25">
      <c r="B30" t="str">
        <f t="shared" si="0"/>
        <v xml:space="preserve">Kérjük, töltse ki elérhetőségi adatait, majd kattintson a kívánt mezőre az alábbiakban. </v>
      </c>
      <c r="C30" t="s">
        <v>233</v>
      </c>
      <c r="D30" t="s">
        <v>367</v>
      </c>
      <c r="E30" t="s">
        <v>452</v>
      </c>
      <c r="F30" t="s">
        <v>403</v>
      </c>
      <c r="G30" s="58" t="s">
        <v>498</v>
      </c>
      <c r="H30" s="57" t="s">
        <v>553</v>
      </c>
    </row>
    <row r="31" spans="2:8" x14ac:dyDescent="0.25">
      <c r="B31" t="str">
        <f t="shared" si="0"/>
        <v>Rendelés száma</v>
      </c>
      <c r="C31" t="s">
        <v>234</v>
      </c>
      <c r="D31" t="s">
        <v>234</v>
      </c>
      <c r="E31" t="s">
        <v>453</v>
      </c>
      <c r="F31" t="s">
        <v>404</v>
      </c>
      <c r="G31" s="57" t="s">
        <v>499</v>
      </c>
      <c r="H31" s="32" t="s">
        <v>554</v>
      </c>
    </row>
    <row r="32" spans="2:8" x14ac:dyDescent="0.25">
      <c r="B32" t="str">
        <f t="shared" si="0"/>
        <v>Partner</v>
      </c>
      <c r="C32" s="23" t="s">
        <v>235</v>
      </c>
      <c r="D32" t="s">
        <v>235</v>
      </c>
      <c r="E32" t="s">
        <v>454</v>
      </c>
      <c r="F32" t="s">
        <v>405</v>
      </c>
      <c r="G32" s="57" t="s">
        <v>500</v>
      </c>
      <c r="H32" s="32" t="s">
        <v>555</v>
      </c>
    </row>
    <row r="33" spans="2:8" x14ac:dyDescent="0.25">
      <c r="B33" t="str">
        <f t="shared" si="0"/>
        <v>VAT EU:</v>
      </c>
      <c r="C33" s="23" t="s">
        <v>236</v>
      </c>
      <c r="D33" t="s">
        <v>236</v>
      </c>
      <c r="E33" t="s">
        <v>455</v>
      </c>
      <c r="F33" t="s">
        <v>406</v>
      </c>
      <c r="G33" s="57" t="s">
        <v>501</v>
      </c>
      <c r="H33" s="32" t="s">
        <v>573</v>
      </c>
    </row>
    <row r="34" spans="2:8" x14ac:dyDescent="0.25">
      <c r="B34" t="str">
        <f t="shared" si="0"/>
        <v>Kapcsolattartó telefonszám</v>
      </c>
      <c r="C34" s="23" t="s">
        <v>237</v>
      </c>
      <c r="D34" t="s">
        <v>238</v>
      </c>
      <c r="E34" t="s">
        <v>456</v>
      </c>
      <c r="F34" t="s">
        <v>407</v>
      </c>
      <c r="G34" s="57" t="s">
        <v>502</v>
      </c>
      <c r="H34" s="32" t="s">
        <v>556</v>
      </c>
    </row>
    <row r="35" spans="2:8" x14ac:dyDescent="0.25">
      <c r="B35" t="str">
        <f t="shared" si="0"/>
        <v>A feltüntetett árak nem tartalmaznak áfát!</v>
      </c>
      <c r="C35" s="23" t="s">
        <v>239</v>
      </c>
      <c r="D35" t="s">
        <v>240</v>
      </c>
      <c r="E35" t="s">
        <v>457</v>
      </c>
      <c r="F35" t="s">
        <v>408</v>
      </c>
      <c r="G35" s="57" t="s">
        <v>503</v>
      </c>
      <c r="H35" t="s">
        <v>557</v>
      </c>
    </row>
    <row r="36" spans="2:8" ht="30" x14ac:dyDescent="0.25">
      <c r="B36" t="str">
        <f t="shared" si="0"/>
        <v xml:space="preserve">A űrlapot mindig felülről lefelé haladva kell kitölteni. Ha visszalépve módosítást hajt végre, ellenőrizze, hogy a következő tételek helyesek-e. </v>
      </c>
      <c r="C36" t="s">
        <v>241</v>
      </c>
      <c r="D36" t="s">
        <v>368</v>
      </c>
      <c r="E36" t="s">
        <v>458</v>
      </c>
      <c r="F36" t="s">
        <v>409</v>
      </c>
      <c r="G36" s="58" t="s">
        <v>504</v>
      </c>
      <c r="H36" s="57" t="s">
        <v>558</v>
      </c>
    </row>
    <row r="37" spans="2:8" x14ac:dyDescent="0.25">
      <c r="B37" t="str">
        <f t="shared" si="0"/>
        <v>A kitöltött megrendelést küldje el a megrendelesek@demos-trade.com címre.</v>
      </c>
      <c r="C37" s="23" t="s">
        <v>242</v>
      </c>
      <c r="D37" t="s">
        <v>243</v>
      </c>
      <c r="E37" t="s">
        <v>469</v>
      </c>
      <c r="F37" t="s">
        <v>410</v>
      </c>
      <c r="G37" s="57" t="s">
        <v>505</v>
      </c>
      <c r="H37" s="57" t="s">
        <v>559</v>
      </c>
    </row>
    <row r="38" spans="2:8" x14ac:dyDescent="0.25">
      <c r="B38" t="str">
        <f t="shared" si="0"/>
        <v>A takarósapka cikkszáma és megnevezése</v>
      </c>
      <c r="C38" t="s">
        <v>244</v>
      </c>
      <c r="D38" t="s">
        <v>369</v>
      </c>
      <c r="E38" t="s">
        <v>527</v>
      </c>
      <c r="F38" t="s">
        <v>411</v>
      </c>
      <c r="G38" s="57" t="s">
        <v>506</v>
      </c>
      <c r="H38" s="32" t="s">
        <v>560</v>
      </c>
    </row>
    <row r="39" spans="2:8" x14ac:dyDescent="0.25">
      <c r="B39" t="str">
        <f t="shared" si="0"/>
        <v>Tovább &gt;</v>
      </c>
      <c r="C39" t="s">
        <v>247</v>
      </c>
      <c r="D39" t="s">
        <v>370</v>
      </c>
      <c r="E39" t="s">
        <v>248</v>
      </c>
      <c r="F39" t="s">
        <v>412</v>
      </c>
      <c r="G39" s="57" t="s">
        <v>507</v>
      </c>
      <c r="H39" s="32" t="s">
        <v>561</v>
      </c>
    </row>
    <row r="40" spans="2:8" x14ac:dyDescent="0.25">
      <c r="B40" t="str">
        <f t="shared" si="0"/>
        <v>&lt; Vissza</v>
      </c>
      <c r="C40" t="s">
        <v>423</v>
      </c>
      <c r="D40" t="s">
        <v>422</v>
      </c>
      <c r="E40" t="s">
        <v>245</v>
      </c>
      <c r="F40" t="s">
        <v>246</v>
      </c>
      <c r="G40" s="57" t="s">
        <v>508</v>
      </c>
      <c r="H40" s="32" t="s">
        <v>562</v>
      </c>
    </row>
    <row r="41" spans="2:8" ht="30" x14ac:dyDescent="0.25">
      <c r="B41" t="str">
        <f t="shared" si="0"/>
        <v>A megrendeléshez mellékelni kell a logó grafikai alapját vektorokban és a Pantone színskálán szereplő színekben.</v>
      </c>
      <c r="C41" t="s">
        <v>348</v>
      </c>
      <c r="D41" t="s">
        <v>371</v>
      </c>
      <c r="E41" t="s">
        <v>459</v>
      </c>
      <c r="F41" t="s">
        <v>413</v>
      </c>
      <c r="G41" s="58" t="s">
        <v>509</v>
      </c>
      <c r="H41" s="32" t="s">
        <v>563</v>
      </c>
    </row>
    <row r="42" spans="2:8" x14ac:dyDescent="0.25">
      <c r="B42" t="str">
        <f t="shared" si="0"/>
        <v>A takarósapkák rendelkezésre állása</v>
      </c>
      <c r="C42" t="s">
        <v>253</v>
      </c>
      <c r="D42" t="s">
        <v>372</v>
      </c>
      <c r="E42" t="s">
        <v>470</v>
      </c>
      <c r="F42" t="s">
        <v>414</v>
      </c>
      <c r="G42" s="57" t="s">
        <v>510</v>
      </c>
      <c r="H42" s="32" t="s">
        <v>564</v>
      </c>
    </row>
    <row r="43" spans="2:8" ht="30" x14ac:dyDescent="0.25">
      <c r="B43" t="str">
        <f t="shared" si="0"/>
        <v>Figyelem - a megrendelt takarósapka nem szimmetrikus, kérjük, mellékeljen rajzot.</v>
      </c>
      <c r="C43" t="s">
        <v>343</v>
      </c>
      <c r="D43" t="s">
        <v>373</v>
      </c>
      <c r="E43" t="s">
        <v>460</v>
      </c>
      <c r="F43" t="s">
        <v>415</v>
      </c>
      <c r="G43" s="58" t="s">
        <v>511</v>
      </c>
      <c r="H43" s="65" t="s">
        <v>565</v>
      </c>
    </row>
    <row r="44" spans="2:8" x14ac:dyDescent="0.25">
      <c r="B44" t="str">
        <f t="shared" si="0"/>
        <v>db</v>
      </c>
      <c r="C44" t="s">
        <v>281</v>
      </c>
      <c r="D44" t="s">
        <v>16</v>
      </c>
      <c r="E44" t="s">
        <v>466</v>
      </c>
      <c r="F44" t="s">
        <v>416</v>
      </c>
      <c r="G44" s="57" t="s">
        <v>512</v>
      </c>
      <c r="H44" t="s">
        <v>512</v>
      </c>
    </row>
    <row r="45" spans="2:8" x14ac:dyDescent="0.25">
      <c r="B45" t="str">
        <f t="shared" si="0"/>
        <v>Módosítsa a mennyiséget teljes csomagolásra</v>
      </c>
      <c r="C45" t="s">
        <v>284</v>
      </c>
      <c r="D45" t="s">
        <v>374</v>
      </c>
      <c r="E45" t="s">
        <v>461</v>
      </c>
      <c r="F45" t="s">
        <v>417</v>
      </c>
      <c r="G45" s="57" t="s">
        <v>513</v>
      </c>
      <c r="H45" t="s">
        <v>566</v>
      </c>
    </row>
    <row r="46" spans="2:8" x14ac:dyDescent="0.25">
      <c r="B46" t="str">
        <f t="shared" si="0"/>
        <v>Megerősítem, hogy megértettem és elfogadom a fent említett feltételeket és ajánlásokat.</v>
      </c>
      <c r="C46" s="10" t="s">
        <v>519</v>
      </c>
      <c r="D46" t="s">
        <v>520</v>
      </c>
      <c r="E46" t="s">
        <v>521</v>
      </c>
      <c r="F46" t="s">
        <v>523</v>
      </c>
      <c r="G46" s="57" t="s">
        <v>522</v>
      </c>
      <c r="H46" t="s">
        <v>572</v>
      </c>
    </row>
    <row r="47" spans="2:8" x14ac:dyDescent="0.25">
      <c r="G47" s="58"/>
    </row>
    <row r="48" spans="2:8" x14ac:dyDescent="0.25">
      <c r="G48" s="57"/>
    </row>
    <row r="49" spans="2:8" x14ac:dyDescent="0.25">
      <c r="B49" t="str">
        <f t="shared" si="0"/>
        <v>A feltüntetett ár végleges, nem alkalmazható árengedmény.</v>
      </c>
      <c r="C49" t="s">
        <v>346</v>
      </c>
      <c r="D49" t="s">
        <v>375</v>
      </c>
      <c r="E49" t="s">
        <v>462</v>
      </c>
      <c r="F49" t="s">
        <v>418</v>
      </c>
      <c r="G49" s="57" t="s">
        <v>514</v>
      </c>
      <c r="H49" s="32" t="s">
        <v>567</v>
      </c>
    </row>
    <row r="50" spans="2:8" x14ac:dyDescent="0.25">
      <c r="B50" t="str">
        <f t="shared" si="0"/>
        <v>Az ár a megrendelt darabszámtól függ</v>
      </c>
      <c r="C50" t="s">
        <v>347</v>
      </c>
      <c r="D50" t="s">
        <v>376</v>
      </c>
      <c r="E50" t="s">
        <v>463</v>
      </c>
      <c r="F50" t="s">
        <v>419</v>
      </c>
      <c r="G50" s="57" t="s">
        <v>515</v>
      </c>
      <c r="H50" s="32" t="s">
        <v>568</v>
      </c>
    </row>
    <row r="51" spans="2:8" x14ac:dyDescent="0.25">
      <c r="B51" t="str">
        <f t="shared" si="0"/>
        <v>Ár 200 db esetén</v>
      </c>
      <c r="C51" t="s">
        <v>345</v>
      </c>
      <c r="D51" t="s">
        <v>377</v>
      </c>
      <c r="E51" s="32" t="s">
        <v>464</v>
      </c>
      <c r="F51" t="s">
        <v>420</v>
      </c>
      <c r="G51" s="57" t="s">
        <v>516</v>
      </c>
      <c r="H51" s="32" t="s">
        <v>569</v>
      </c>
    </row>
    <row r="52" spans="2:8" x14ac:dyDescent="0.25">
      <c r="B52" t="str">
        <f t="shared" si="0"/>
        <v>Ár 1000 db esetén</v>
      </c>
      <c r="C52" t="s">
        <v>344</v>
      </c>
      <c r="D52" t="s">
        <v>378</v>
      </c>
      <c r="E52" t="s">
        <v>465</v>
      </c>
      <c r="F52" t="s">
        <v>421</v>
      </c>
      <c r="G52" s="57" t="s">
        <v>517</v>
      </c>
      <c r="H52" s="32" t="s">
        <v>570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3" sqref="L23:M24"/>
    </sheetView>
  </sheetViews>
  <sheetFormatPr defaultColWidth="0" defaultRowHeight="15" zeroHeight="1" x14ac:dyDescent="0.25"/>
  <cols>
    <col min="1" max="1" width="1.5703125" style="10" customWidth="1"/>
    <col min="2" max="2" width="37.140625" style="10" customWidth="1"/>
    <col min="3" max="3" width="35.5703125" style="10" customWidth="1"/>
    <col min="4" max="4" width="19.140625" style="10" customWidth="1"/>
    <col min="5" max="5" width="1.85546875" style="10" customWidth="1"/>
    <col min="6" max="6" width="18" style="10" customWidth="1"/>
    <col min="7" max="7" width="11.5703125" style="10" customWidth="1"/>
    <col min="8" max="8" width="8.85546875" style="10" customWidth="1"/>
    <col min="9" max="9" width="9" style="10" customWidth="1"/>
    <col min="10" max="10" width="9.140625" style="10" customWidth="1"/>
    <col min="11" max="11" width="38" style="10" customWidth="1"/>
    <col min="12" max="13" width="9.140625" style="10" customWidth="1"/>
    <col min="14" max="24" width="0" style="10" hidden="1" customWidth="1"/>
    <col min="25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80" t="str">
        <f>překlady!B28</f>
        <v>Kezdőlap</v>
      </c>
      <c r="M2" s="80"/>
    </row>
    <row r="3" spans="1:24" ht="19.149999999999999" customHeight="1" x14ac:dyDescent="0.25"/>
    <row r="4" spans="1:24" ht="15.75" x14ac:dyDescent="0.25">
      <c r="B4" s="47" t="str">
        <f>překlady!B20</f>
        <v>A takarósapka márkája</v>
      </c>
      <c r="C4" s="83"/>
      <c r="D4" s="84"/>
      <c r="E4" s="48"/>
    </row>
    <row r="5" spans="1:24" ht="15.75" x14ac:dyDescent="0.25">
      <c r="B5" s="34" t="str">
        <f>překlady!B21</f>
        <v>Mire rendeli a sapkát?</v>
      </c>
      <c r="C5" s="83"/>
      <c r="D5" s="84"/>
      <c r="E5" s="48"/>
      <c r="V5" s="10" t="s">
        <v>48</v>
      </c>
      <c r="W5" s="10" t="str">
        <f>CONCATENATE(C4,"_",W6)</f>
        <v>_0</v>
      </c>
    </row>
    <row r="6" spans="1:24" ht="45.75" customHeight="1" x14ac:dyDescent="0.25">
      <c r="B6" s="49" t="str">
        <f>překlady!B38</f>
        <v>A takarósapka cikkszáma és megnevezése</v>
      </c>
      <c r="C6" s="85"/>
      <c r="D6" s="86"/>
      <c r="E6" s="48"/>
      <c r="F6" s="16" t="e">
        <f>VLOOKUP(C6,karty!C:X,21,0)</f>
        <v>#N/A</v>
      </c>
      <c r="V6" s="10" t="s">
        <v>49</v>
      </c>
      <c r="W6" s="10">
        <f>IF(C5=překlady!B18,"P",IF(C5=překlady!B19,"Z",0))</f>
        <v>0</v>
      </c>
      <c r="X6" s="10" t="s">
        <v>53</v>
      </c>
    </row>
    <row r="7" spans="1:24" ht="45" customHeight="1" x14ac:dyDescent="0.25">
      <c r="A7" s="16" t="e">
        <f>VLOOKUP(Config!C6,karty!C:R,16,0)</f>
        <v>#N/A</v>
      </c>
      <c r="B7" s="87" t="str">
        <f>překlady!B43</f>
        <v>Figyelem - a megrendelt takarósapka nem szimmetrikus, kérjük, mellékeljen rajzot.</v>
      </c>
      <c r="C7" s="87"/>
      <c r="D7" s="87"/>
      <c r="X7" s="10" t="s">
        <v>54</v>
      </c>
    </row>
    <row r="8" spans="1:24" ht="18.600000000000001" customHeight="1" x14ac:dyDescent="0.25">
      <c r="B8" s="47" t="str">
        <f>překlady!B9</f>
        <v>Mennyiség (min. 50 db)</v>
      </c>
      <c r="C8" s="50"/>
      <c r="D8" s="51" t="str">
        <f>překlady!B44</f>
        <v>db</v>
      </c>
      <c r="E8" s="16"/>
      <c r="F8" s="16" t="str">
        <f>IF(C8&gt;49,překlady!B50,"")</f>
        <v/>
      </c>
      <c r="G8" s="16"/>
      <c r="H8" s="16"/>
    </row>
    <row r="9" spans="1:24" ht="18.75" customHeight="1" x14ac:dyDescent="0.25">
      <c r="B9" s="34" t="str">
        <f>překlady!B10</f>
        <v>A logó színeinek száma (1-4)</v>
      </c>
      <c r="C9" s="89"/>
      <c r="D9" s="90"/>
    </row>
    <row r="10" spans="1:24" ht="15.75" x14ac:dyDescent="0.25">
      <c r="B10" s="34" t="str">
        <f>překlady!B12</f>
        <v>Ismételt nyomtatás?</v>
      </c>
      <c r="C10" s="81"/>
      <c r="D10" s="82"/>
      <c r="E10" s="52"/>
      <c r="V10" s="10" t="s">
        <v>226</v>
      </c>
      <c r="X10" s="10" t="e">
        <f>VLOOKUP(C6,karty!C:P,14,0)</f>
        <v>#N/A</v>
      </c>
    </row>
    <row r="11" spans="1:24" ht="18.75" customHeight="1" x14ac:dyDescent="0.25">
      <c r="B11" s="53"/>
      <c r="C11" s="53"/>
      <c r="D11" s="54"/>
      <c r="F11" s="55"/>
    </row>
    <row r="12" spans="1:24" ht="31.9" customHeight="1" x14ac:dyDescent="0.25">
      <c r="B12" s="47" t="str">
        <f>překlady!B26</f>
        <v>A nyomtatott takarósapkák teljes ára</v>
      </c>
      <c r="C12" s="33" t="e">
        <f>IF(překlady!D1=1,data!Q27,IF(překlady!D1=2,data!R27,IF(překlady!D1=3,data!S27,IF(překlady!D1=4,data!T27,data!U27))))+C8*X10</f>
        <v>#VALUE!</v>
      </c>
      <c r="D12" s="35" t="str">
        <f>IF(překlady!D1=1,data!Q28,IF(překlady!D1=2,data!R28,IF(překlady!D1=3,data!S28,IF(překlady!D1=4,data!T28,IF(překlady!D1=5,data!U28,data!V28)))))</f>
        <v>HUF</v>
      </c>
      <c r="F12" s="63" t="str">
        <f>IF(SUM(V14:V16)=3,překlady!B51,"")</f>
        <v/>
      </c>
      <c r="G12" s="88" t="str">
        <f>IF(SUM(V14:V16)=3,překlady!B52,"")</f>
        <v/>
      </c>
      <c r="H12" s="88"/>
      <c r="V12" s="10" t="s">
        <v>257</v>
      </c>
      <c r="W12" s="10" t="str">
        <f>IF(SUM(V14:V16)=3,IF(AND(C8&gt;49,C8&lt;200),1,IF(AND(C8&gt;199,C8&lt;901),2,0)),"")</f>
        <v/>
      </c>
    </row>
    <row r="13" spans="1:24" ht="36.6" customHeight="1" x14ac:dyDescent="0.25">
      <c r="B13" s="36" t="str">
        <f>překlady!B27</f>
        <v>Ár 1 db nyomtatott takarósapkáért</v>
      </c>
      <c r="C13" s="37" t="e">
        <f>C12/C8</f>
        <v>#VALUE!</v>
      </c>
      <c r="D13" s="38" t="str">
        <f>IF(překlady!D1=1,data!Q28,IF(překlady!D1=2,data!R28,IF(překlady!D1=3,data!S28,IF(překlady!D1=4,data!T28,IF(překlady!D1=5,data!U28,data!V28)))))</f>
        <v>HUF</v>
      </c>
      <c r="F13" s="39" t="str">
        <f>IF(SUM(V14:V16)=3,IF(překlady!D1=1,data!X27,IF(překlady!D1=2,data!Y27,IF(překlady!D1=3,data!Z27,IF(překlady!D1=4,data!AA27,data!AB27))))/200+X10,"")</f>
        <v/>
      </c>
      <c r="G13" s="40" t="str">
        <f>IF(SUM(V14:V16)=3,IF(překlady!D1=1,data!AE27,IF(překlady!D1=2,data!AF27,IF(překlady!D1=3,data!AG27,IF(překlady!D1=4,data!AH27,data!AI27))))/1000+X10,"")</f>
        <v/>
      </c>
      <c r="H13" s="41" t="str">
        <f>IF(SUM(V14:V16)=3,IF(překlady!$D$1=1,data!Q28,IF(překlady!$D$1=2,data!R28,IF(překlady!$D$1=3,data!S28,IF(překlady!$D$1=4,data!T28,IF(překlady!D1=5,data!U28,data!V28))))),"")</f>
        <v/>
      </c>
    </row>
    <row r="14" spans="1:24" x14ac:dyDescent="0.25">
      <c r="F14" s="42"/>
      <c r="U14" s="56" t="s">
        <v>256</v>
      </c>
      <c r="V14" s="10">
        <f>IF(C8&lt;&gt;"",1,0)</f>
        <v>0</v>
      </c>
    </row>
    <row r="15" spans="1:24" ht="18.75" x14ac:dyDescent="0.3">
      <c r="B15" s="43" t="str">
        <f>překlady!B35</f>
        <v>A feltüntetett árak nem tartalmaznak áfát!</v>
      </c>
      <c r="E15" s="44"/>
      <c r="U15" s="56" t="s">
        <v>15</v>
      </c>
      <c r="V15" s="10">
        <f>IF(C9&gt;0,1,0)</f>
        <v>0</v>
      </c>
    </row>
    <row r="16" spans="1:24" x14ac:dyDescent="0.25">
      <c r="U16" s="56" t="s">
        <v>29</v>
      </c>
      <c r="V16" s="10">
        <f>IF(C10&lt;&gt;"",1,0)</f>
        <v>0</v>
      </c>
    </row>
    <row r="17" spans="2:13" ht="18.75" x14ac:dyDescent="0.3">
      <c r="B17" s="43" t="str">
        <f>překlady!B49</f>
        <v>A feltüntetett ár végleges, nem alkalmazható árengedmény.</v>
      </c>
    </row>
    <row r="18" spans="2:13" x14ac:dyDescent="0.25"/>
    <row r="19" spans="2:13" ht="18.75" x14ac:dyDescent="0.3">
      <c r="B19" s="45" t="str">
        <f>překlady!B41</f>
        <v>A megrendeléshez mellékelni kell a logó grafikai alapját vektorokban és a Pantone színskálán szereplő színekben.</v>
      </c>
    </row>
    <row r="20" spans="2:13" x14ac:dyDescent="0.25"/>
    <row r="21" spans="2:13" ht="18.75" x14ac:dyDescent="0.3">
      <c r="B21" s="45" t="str">
        <f>překlady!B37</f>
        <v>A kitöltött megrendelést küldje el a megrendelesek@demos-trade.com címre.</v>
      </c>
    </row>
    <row r="22" spans="2:13" x14ac:dyDescent="0.25"/>
    <row r="23" spans="2:13" x14ac:dyDescent="0.25">
      <c r="B23" s="46"/>
      <c r="L23" s="68" t="str">
        <f>překlady!B40</f>
        <v>&lt; Vissza</v>
      </c>
      <c r="M23" s="66"/>
    </row>
    <row r="24" spans="2:13" x14ac:dyDescent="0.25">
      <c r="L24" s="68"/>
      <c r="M24" s="66"/>
    </row>
    <row r="25" spans="2:13" x14ac:dyDescent="0.25">
      <c r="B25" s="46"/>
    </row>
    <row r="26" spans="2:13" hidden="1" x14ac:dyDescent="0.25">
      <c r="B26" s="46"/>
    </row>
    <row r="27" spans="2:13" hidden="1" x14ac:dyDescent="0.25">
      <c r="B27" s="46"/>
    </row>
    <row r="28" spans="2:13" hidden="1" x14ac:dyDescent="0.25">
      <c r="J28" s="44"/>
    </row>
    <row r="29" spans="2:13" hidden="1" x14ac:dyDescent="0.25">
      <c r="B29" s="10" t="e" cm="1">
        <f t="array" aca="1" ref="B29" ca="1">INDIRECT(W5)</f>
        <v>#REF!</v>
      </c>
    </row>
  </sheetData>
  <sheetProtection algorithmName="SHA-512" hashValue="zx99eg3mKdi9pCBg6Ox5bBJ84pxhZ7wCCXOi06JKmiecW7Q0FzZiBpGs2Q9+xBFOv/I6CTu7EX/5KzqcesDlGA==" saltValue="cgdv2njWu4sUkwSq34VnIA==" spinCount="100000" sheet="1" objects="1" scenarios="1" selectLockedCells="1"/>
  <mergeCells count="9">
    <mergeCell ref="L23:M24"/>
    <mergeCell ref="L2:M2"/>
    <mergeCell ref="C10:D10"/>
    <mergeCell ref="C5:D5"/>
    <mergeCell ref="C6:D6"/>
    <mergeCell ref="C4:D4"/>
    <mergeCell ref="B7:D7"/>
    <mergeCell ref="G12:H12"/>
    <mergeCell ref="C9:D9"/>
  </mergeCells>
  <conditionalFormatting sqref="B7">
    <cfRule type="expression" dxfId="7" priority="6">
      <formula>$F$6=2</formula>
    </cfRule>
  </conditionalFormatting>
  <conditionalFormatting sqref="C8">
    <cfRule type="cellIs" dxfId="6" priority="10" operator="between">
      <formula>50</formula>
      <formula>9000000000000</formula>
    </cfRule>
  </conditionalFormatting>
  <conditionalFormatting sqref="C12">
    <cfRule type="cellIs" dxfId="5" priority="9" operator="between">
      <formula>1</formula>
      <formula>100000000000000000</formula>
    </cfRule>
  </conditionalFormatting>
  <conditionalFormatting sqref="C13">
    <cfRule type="cellIs" dxfId="4" priority="8" operator="between">
      <formula>0.1</formula>
      <formula>10000000000</formula>
    </cfRule>
  </conditionalFormatting>
  <conditionalFormatting sqref="F12:H13">
    <cfRule type="expression" dxfId="3" priority="11">
      <formula>$W$12=1</formula>
    </cfRule>
  </conditionalFormatting>
  <conditionalFormatting sqref="F8:I8">
    <cfRule type="expression" dxfId="2" priority="5">
      <formula>$C$8&gt;49</formula>
    </cfRule>
  </conditionalFormatting>
  <conditionalFormatting sqref="G12:H13">
    <cfRule type="expression" dxfId="1" priority="2">
      <formula>$W$12=2</formula>
    </cfRule>
  </conditionalFormatting>
  <dataValidations count="3">
    <dataValidation type="list" allowBlank="1" showInputMessage="1" showErrorMessage="1" sqref="C9" xr:uid="{93958122-2532-4B8D-95A1-82331837DC0D}">
      <formula1>"1,2,3,4"</formula1>
    </dataValidation>
    <dataValidation type="list" showInputMessage="1" showErrorMessage="1" sqref="C6" xr:uid="{AD5160D3-453C-4579-9FBB-9B38E326C9BA}">
      <formula1>$B$29:$B$43</formula1>
    </dataValidation>
    <dataValidation type="list" allowBlank="1" showInputMessage="1" showErrorMessage="1" sqref="C4" xr:uid="{EE5199A0-DB17-4DA6-A5DC-4B1BB5A4C6EA}">
      <formula1>"Strong,Blum,Hettich"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215AC98-0EDA-4785-B332-37DC4E499694}">
          <x14:formula1>
            <xm:f>překlady!$B$13:$B$14</xm:f>
          </x14:formula1>
          <xm:sqref>C10</xm:sqref>
        </x14:dataValidation>
        <x14:dataValidation type="list" allowBlank="1" showInputMessage="1" showErrorMessage="1" xr:uid="{A2E47AB6-8552-4805-B2E6-3F96825F416A}">
          <x14:formula1>
            <xm:f>překlady!$B$18:$B$19</xm:f>
          </x14:formula1>
          <xm:sqref>C5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topLeftCell="M1" workbookViewId="0">
      <selection activeCell="R28" sqref="R28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25</v>
      </c>
      <c r="B1" s="5" t="e">
        <f>VLOOKUP(Config!C6,karty!C:U,19,0)</f>
        <v>#N/A</v>
      </c>
      <c r="D1" t="e">
        <f>B1&amp;"_"&amp;B2</f>
        <v>#N/A</v>
      </c>
    </row>
    <row r="2" spans="1:31" x14ac:dyDescent="0.25">
      <c r="A2" s="5" t="s">
        <v>26</v>
      </c>
      <c r="B2" s="5">
        <f>Config!C9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12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345</v>
      </c>
      <c r="AD6" t="s">
        <v>344</v>
      </c>
    </row>
    <row r="7" spans="1:31" x14ac:dyDescent="0.25">
      <c r="A7" t="s">
        <v>16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21</v>
      </c>
      <c r="N7" t="s">
        <v>22</v>
      </c>
      <c r="P7" t="s">
        <v>291</v>
      </c>
      <c r="Q7" t="e">
        <f>MATCH(Config!C8,data!$D$7:$L$7)</f>
        <v>#N/A</v>
      </c>
    </row>
    <row r="8" spans="1:31" x14ac:dyDescent="0.25">
      <c r="A8" t="s">
        <v>17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215</v>
      </c>
      <c r="Q8" t="e">
        <f>HLOOKUP($Q$7,$D$6:$L$11,3,0)</f>
        <v>#N/A</v>
      </c>
      <c r="W8" t="s">
        <v>215</v>
      </c>
      <c r="X8" s="4">
        <v>2.6</v>
      </c>
      <c r="AD8" t="s">
        <v>215</v>
      </c>
      <c r="AE8" s="4">
        <v>1.75</v>
      </c>
    </row>
    <row r="9" spans="1:31" x14ac:dyDescent="0.25">
      <c r="A9" t="s">
        <v>18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216</v>
      </c>
      <c r="Q9" t="e">
        <f>HLOOKUP($Q$7,$D$6:$L$11,4,0)</f>
        <v>#N/A</v>
      </c>
      <c r="W9" t="s">
        <v>216</v>
      </c>
      <c r="X9" s="4">
        <v>4.4000000000000004</v>
      </c>
      <c r="AD9" t="s">
        <v>216</v>
      </c>
      <c r="AE9" s="4">
        <v>2.98</v>
      </c>
    </row>
    <row r="10" spans="1:31" x14ac:dyDescent="0.25">
      <c r="A10" t="s">
        <v>19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217</v>
      </c>
      <c r="Q10" t="e">
        <f>HLOOKUP($Q$7,$D$6:$L$11,5,0)</f>
        <v>#N/A</v>
      </c>
      <c r="W10" t="s">
        <v>217</v>
      </c>
      <c r="X10" s="4">
        <v>5.24</v>
      </c>
      <c r="AD10" t="s">
        <v>217</v>
      </c>
      <c r="AE10" s="4">
        <v>3.54</v>
      </c>
    </row>
    <row r="11" spans="1:31" x14ac:dyDescent="0.25">
      <c r="A11" t="s">
        <v>20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218</v>
      </c>
      <c r="Q11" t="e">
        <f>HLOOKUP($Q$7,$D$6:$L$11,6,0)</f>
        <v>#N/A</v>
      </c>
      <c r="W11" t="s">
        <v>218</v>
      </c>
      <c r="X11" s="4">
        <v>8.6</v>
      </c>
      <c r="AD11" t="s">
        <v>218</v>
      </c>
      <c r="AE11" s="4">
        <v>6.07</v>
      </c>
    </row>
    <row r="13" spans="1:31" x14ac:dyDescent="0.25">
      <c r="A13" t="s">
        <v>13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16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21</v>
      </c>
      <c r="N14" t="s">
        <v>22</v>
      </c>
      <c r="P14" t="s">
        <v>291</v>
      </c>
      <c r="Q14" t="e">
        <f>MATCH(Config!C8,data!$D$14:$L$14)</f>
        <v>#N/A</v>
      </c>
    </row>
    <row r="15" spans="1:31" x14ac:dyDescent="0.25">
      <c r="A15" t="s">
        <v>17</v>
      </c>
      <c r="B15" s="4"/>
      <c r="C15" s="4"/>
      <c r="D15" s="24">
        <v>3.9</v>
      </c>
      <c r="E15" s="24">
        <v>3</v>
      </c>
      <c r="F15" s="24">
        <v>2.65</v>
      </c>
      <c r="G15" s="24">
        <v>2.15</v>
      </c>
      <c r="H15" s="24">
        <v>1.79</v>
      </c>
      <c r="I15" s="24">
        <v>1.45</v>
      </c>
      <c r="J15" s="24">
        <v>1.4</v>
      </c>
      <c r="K15" s="24">
        <v>1.2</v>
      </c>
      <c r="L15" s="24">
        <v>1.1000000000000001</v>
      </c>
      <c r="M15" s="4">
        <v>300</v>
      </c>
      <c r="N15" s="4">
        <v>150</v>
      </c>
      <c r="P15" t="s">
        <v>219</v>
      </c>
      <c r="Q15" t="e">
        <f>HLOOKUP(Q14,$D$13:$L$18,3,0)</f>
        <v>#N/A</v>
      </c>
      <c r="W15" t="s">
        <v>219</v>
      </c>
      <c r="X15" s="24">
        <v>2.65</v>
      </c>
      <c r="AD15" t="s">
        <v>219</v>
      </c>
      <c r="AE15" s="24">
        <v>1.79</v>
      </c>
    </row>
    <row r="16" spans="1:31" x14ac:dyDescent="0.25">
      <c r="A16" t="s">
        <v>18</v>
      </c>
      <c r="B16" s="4"/>
      <c r="C16" s="4"/>
      <c r="D16" s="24">
        <v>6.5</v>
      </c>
      <c r="E16" s="24">
        <v>5.0999999999999996</v>
      </c>
      <c r="F16" s="24">
        <v>4.5</v>
      </c>
      <c r="G16" s="24">
        <v>3.59</v>
      </c>
      <c r="H16" s="24">
        <v>3</v>
      </c>
      <c r="I16" s="24">
        <v>2.4500000000000002</v>
      </c>
      <c r="J16" s="24">
        <v>2.4</v>
      </c>
      <c r="K16" s="24">
        <v>2</v>
      </c>
      <c r="L16" s="24">
        <v>1.8</v>
      </c>
      <c r="M16" s="4">
        <v>600</v>
      </c>
      <c r="N16" s="4">
        <v>300</v>
      </c>
      <c r="P16" t="s">
        <v>220</v>
      </c>
      <c r="Q16" t="e">
        <f>HLOOKUP(Q14,$D$13:$L$18,4,0)</f>
        <v>#N/A</v>
      </c>
      <c r="W16" t="s">
        <v>220</v>
      </c>
      <c r="X16" s="24">
        <v>4.5</v>
      </c>
      <c r="AD16" t="s">
        <v>220</v>
      </c>
      <c r="AE16" s="24">
        <v>3</v>
      </c>
    </row>
    <row r="17" spans="1:35" x14ac:dyDescent="0.25">
      <c r="A17" t="s">
        <v>19</v>
      </c>
      <c r="B17" s="4"/>
      <c r="C17" s="4"/>
      <c r="D17" s="24">
        <v>7.82</v>
      </c>
      <c r="E17" s="24">
        <v>6.1</v>
      </c>
      <c r="F17" s="24">
        <v>5.35</v>
      </c>
      <c r="G17" s="24">
        <v>4.4000000000000004</v>
      </c>
      <c r="H17" s="24">
        <v>3.6</v>
      </c>
      <c r="I17" s="24">
        <v>2.95</v>
      </c>
      <c r="J17" s="24">
        <v>2.9</v>
      </c>
      <c r="K17" s="24">
        <v>2.4</v>
      </c>
      <c r="L17" s="24">
        <v>2.2000000000000002</v>
      </c>
      <c r="M17" s="4">
        <v>900</v>
      </c>
      <c r="N17" s="4">
        <v>450</v>
      </c>
      <c r="P17" t="s">
        <v>221</v>
      </c>
      <c r="Q17" t="e">
        <f>HLOOKUP(Q14,$D$13:$L$18,5,0)</f>
        <v>#N/A</v>
      </c>
      <c r="W17" t="s">
        <v>221</v>
      </c>
      <c r="X17" s="24">
        <v>5.35</v>
      </c>
      <c r="AD17" t="s">
        <v>221</v>
      </c>
      <c r="AE17" s="24">
        <v>3.6</v>
      </c>
    </row>
    <row r="18" spans="1:35" x14ac:dyDescent="0.25">
      <c r="A18" t="s">
        <v>20</v>
      </c>
      <c r="B18" s="4"/>
      <c r="C18" s="4"/>
      <c r="D18" s="24">
        <v>13.25</v>
      </c>
      <c r="E18" s="24">
        <v>10.25</v>
      </c>
      <c r="F18" s="24">
        <v>9.02</v>
      </c>
      <c r="G18" s="24">
        <v>7.25</v>
      </c>
      <c r="H18" s="24">
        <v>6.06</v>
      </c>
      <c r="I18" s="24">
        <v>4.9000000000000004</v>
      </c>
      <c r="J18" s="24">
        <v>4.8</v>
      </c>
      <c r="K18" s="24">
        <v>4.1500000000000004</v>
      </c>
      <c r="L18" s="24">
        <v>3.6</v>
      </c>
      <c r="M18" s="4">
        <v>1200</v>
      </c>
      <c r="N18" s="4">
        <v>600</v>
      </c>
      <c r="P18" t="s">
        <v>222</v>
      </c>
      <c r="Q18" t="e">
        <f>HLOOKUP(Q14,$D$13:$L$18,6,0)</f>
        <v>#N/A</v>
      </c>
      <c r="W18" t="s">
        <v>222</v>
      </c>
      <c r="X18" s="24">
        <v>9.02</v>
      </c>
      <c r="AD18" t="s">
        <v>222</v>
      </c>
      <c r="AE18" s="24">
        <v>6.06</v>
      </c>
    </row>
    <row r="20" spans="1:35" x14ac:dyDescent="0.25">
      <c r="P20" t="s">
        <v>27</v>
      </c>
      <c r="Q20" t="e">
        <f>VLOOKUP($D$1,$P$8:$Q$18,2,0)</f>
        <v>#N/A</v>
      </c>
      <c r="W20" t="s">
        <v>27</v>
      </c>
      <c r="X20" t="e">
        <f>VLOOKUP($D$1,$W$8:$X$18,2,0)</f>
        <v>#N/A</v>
      </c>
      <c r="AD20" t="s">
        <v>27</v>
      </c>
      <c r="AE20" t="e">
        <f>VLOOKUP($D$1,$AD$8:$AE$18,2,0)</f>
        <v>#N/A</v>
      </c>
    </row>
    <row r="21" spans="1:35" x14ac:dyDescent="0.25">
      <c r="P21" t="s">
        <v>255</v>
      </c>
      <c r="Q21" s="26">
        <f>B26</f>
        <v>0.2</v>
      </c>
      <c r="W21" t="s">
        <v>255</v>
      </c>
      <c r="X21" s="26">
        <f>B26</f>
        <v>0.2</v>
      </c>
      <c r="AD21" t="s">
        <v>255</v>
      </c>
      <c r="AE21" s="26">
        <f>B26</f>
        <v>0.2</v>
      </c>
    </row>
    <row r="22" spans="1:35" x14ac:dyDescent="0.25">
      <c r="P22" t="s">
        <v>28</v>
      </c>
      <c r="Q22">
        <f>Config!$C$8</f>
        <v>0</v>
      </c>
      <c r="W22" t="s">
        <v>28</v>
      </c>
      <c r="X22">
        <v>200</v>
      </c>
      <c r="AD22" t="s">
        <v>28</v>
      </c>
      <c r="AE22">
        <v>1000</v>
      </c>
    </row>
    <row r="23" spans="1:35" x14ac:dyDescent="0.25">
      <c r="Q23" s="26" t="e">
        <f>(Q20+Q21)*Q22</f>
        <v>#N/A</v>
      </c>
      <c r="X23" s="26" t="e">
        <f>(X20+X21)*X22</f>
        <v>#N/A</v>
      </c>
      <c r="AE23" s="26" t="e">
        <f>(AE20+AE21)*AE22</f>
        <v>#N/A</v>
      </c>
    </row>
    <row r="24" spans="1:35" x14ac:dyDescent="0.25">
      <c r="P24" t="s">
        <v>29</v>
      </c>
      <c r="Q24" t="str">
        <f>IF(Config!C10=překlady!B13,B28*B2,IF(Config!C10=překlady!B14,300*B2,"nepočítá"))</f>
        <v>nepočítá</v>
      </c>
      <c r="W24" t="s">
        <v>29</v>
      </c>
      <c r="X24" t="str">
        <f>IF(Config!C10=překlady!B13,B28*B2,IF(Config!C10=překlady!B14,300*B2,"nepočítá"))</f>
        <v>nepočítá</v>
      </c>
      <c r="AD24" t="s">
        <v>29</v>
      </c>
      <c r="AE24" t="str">
        <f>IF(Config!C10=překlady!B13,B28*B2,IF(Config!C10=překlady!B14,300*B2,"nepočítá"))</f>
        <v>nepočítá</v>
      </c>
    </row>
    <row r="25" spans="1:35" x14ac:dyDescent="0.25">
      <c r="P25" t="s">
        <v>35</v>
      </c>
      <c r="Q25" t="e">
        <f>IF((VLOOKUP(Config!C10,překlady!B13:O14,14,0))="ano",0,250)</f>
        <v>#N/A</v>
      </c>
      <c r="W25" t="s">
        <v>35</v>
      </c>
      <c r="X25" t="e">
        <f>IF((VLOOKUP(Config!C10,překlady!B13:O14,14,0))="ano",0,250)</f>
        <v>#N/A</v>
      </c>
      <c r="AD25" t="s">
        <v>35</v>
      </c>
      <c r="AE25" t="e">
        <f>IF((VLOOKUP(Config!C10,překlady!B13:O14,14,0))="ano",0,250)</f>
        <v>#N/A</v>
      </c>
    </row>
    <row r="26" spans="1:35" x14ac:dyDescent="0.25">
      <c r="A26" t="s">
        <v>254</v>
      </c>
      <c r="B26" s="25">
        <v>0.2</v>
      </c>
      <c r="P26" t="s">
        <v>36</v>
      </c>
      <c r="Q26" t="str">
        <f>IF(Q24="nepočítá","",SUM(Q23:Q25))</f>
        <v/>
      </c>
      <c r="W26" t="s">
        <v>36</v>
      </c>
      <c r="X26" t="str">
        <f>IF(X24="nepočítá","",SUM(X23:X25))</f>
        <v/>
      </c>
      <c r="AD26" t="s">
        <v>36</v>
      </c>
      <c r="AE26" t="str">
        <f>IF(AE24="nepočítá","",SUM(AE23:AE25))</f>
        <v/>
      </c>
    </row>
    <row r="27" spans="1:35" x14ac:dyDescent="0.25">
      <c r="A27" t="s">
        <v>23</v>
      </c>
      <c r="B27" s="25">
        <v>250</v>
      </c>
      <c r="P27" t="s">
        <v>37</v>
      </c>
      <c r="Q27" t="e">
        <f>Q26*1.4</f>
        <v>#VALUE!</v>
      </c>
      <c r="R27" t="e">
        <f>Q26/24.5*1.4</f>
        <v>#VALUE!</v>
      </c>
      <c r="S27" t="e">
        <f>Q26/6*1.4</f>
        <v>#VALUE!</v>
      </c>
      <c r="T27" t="e">
        <f>Q26/0.062*1.4</f>
        <v>#VALUE!</v>
      </c>
      <c r="U27" t="e">
        <f>Q26/24.5*1.4</f>
        <v>#VALUE!</v>
      </c>
      <c r="V27" t="e">
        <f>Q26/24.5*1.4</f>
        <v>#VALUE!</v>
      </c>
      <c r="W27" t="s">
        <v>37</v>
      </c>
      <c r="X27" s="2" t="e">
        <f>X26*1.4</f>
        <v>#VALUE!</v>
      </c>
      <c r="Y27" s="2" t="e">
        <f>X26/24.5*1.4</f>
        <v>#VALUE!</v>
      </c>
      <c r="Z27" s="2" t="e">
        <f>X26/6*1.4</f>
        <v>#VALUE!</v>
      </c>
      <c r="AA27" s="2" t="e">
        <f>X26/0.062*1.4</f>
        <v>#VALUE!</v>
      </c>
      <c r="AB27" s="2" t="e">
        <f>X26/24.5*1.4</f>
        <v>#VALUE!</v>
      </c>
      <c r="AC27" t="e">
        <f>X26/24.5*1.4</f>
        <v>#VALUE!</v>
      </c>
      <c r="AD27" t="s">
        <v>37</v>
      </c>
      <c r="AE27" t="e">
        <f>AE26*1.4</f>
        <v>#VALUE!</v>
      </c>
      <c r="AF27" t="e">
        <f>AE26/24.5*1.4</f>
        <v>#VALUE!</v>
      </c>
      <c r="AG27" t="e">
        <f>AE26/6*1.4</f>
        <v>#VALUE!</v>
      </c>
      <c r="AH27" t="e">
        <f>AE26/0.062*1.4</f>
        <v>#VALUE!</v>
      </c>
      <c r="AI27" t="e">
        <f>AE26/24.5*1.4</f>
        <v>#VALUE!</v>
      </c>
    </row>
    <row r="28" spans="1:35" x14ac:dyDescent="0.25">
      <c r="A28" t="s">
        <v>24</v>
      </c>
      <c r="B28" s="25">
        <v>150</v>
      </c>
      <c r="Q28" t="s">
        <v>38</v>
      </c>
      <c r="R28" t="s">
        <v>426</v>
      </c>
      <c r="S28" t="s">
        <v>427</v>
      </c>
      <c r="T28" t="s">
        <v>428</v>
      </c>
      <c r="U28" t="s">
        <v>426</v>
      </c>
      <c r="V28" t="s">
        <v>426</v>
      </c>
      <c r="X28" t="s">
        <v>38</v>
      </c>
      <c r="Y28" t="s">
        <v>426</v>
      </c>
      <c r="Z28" t="s">
        <v>427</v>
      </c>
      <c r="AA28" t="s">
        <v>428</v>
      </c>
      <c r="AB28" t="s">
        <v>5</v>
      </c>
      <c r="AE28" t="s">
        <v>38</v>
      </c>
      <c r="AF28" t="s">
        <v>426</v>
      </c>
      <c r="AG28" t="s">
        <v>427</v>
      </c>
      <c r="AH28" t="s">
        <v>428</v>
      </c>
      <c r="AI28" t="s">
        <v>5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C1" workbookViewId="0">
      <selection activeCell="J9" sqref="J9:J39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4</v>
      </c>
      <c r="J1" t="s">
        <v>338</v>
      </c>
      <c r="K1" t="s">
        <v>55</v>
      </c>
      <c r="L1" s="30">
        <v>0.5</v>
      </c>
    </row>
    <row r="2" spans="1:26" x14ac:dyDescent="0.25">
      <c r="K2" t="s">
        <v>337</v>
      </c>
      <c r="L2" s="30">
        <v>0.2</v>
      </c>
    </row>
    <row r="5" spans="1:26" x14ac:dyDescent="0.25">
      <c r="K5" s="79"/>
    </row>
    <row r="6" spans="1:26" x14ac:dyDescent="0.25">
      <c r="K6" s="79"/>
    </row>
    <row r="7" spans="1:26" x14ac:dyDescent="0.25">
      <c r="W7" s="91" t="s">
        <v>290</v>
      </c>
      <c r="X7" s="91"/>
      <c r="Y7" s="92" t="s">
        <v>334</v>
      </c>
      <c r="Z7" s="92"/>
    </row>
    <row r="8" spans="1:26" x14ac:dyDescent="0.25">
      <c r="E8" t="s">
        <v>1</v>
      </c>
      <c r="F8" t="s">
        <v>2</v>
      </c>
      <c r="G8" t="s">
        <v>3</v>
      </c>
      <c r="H8" t="s">
        <v>4</v>
      </c>
      <c r="I8" t="s">
        <v>5</v>
      </c>
      <c r="K8" t="s">
        <v>1</v>
      </c>
      <c r="L8" t="s">
        <v>2</v>
      </c>
      <c r="M8" t="s">
        <v>3</v>
      </c>
      <c r="N8" t="s">
        <v>4</v>
      </c>
      <c r="O8" t="s">
        <v>5</v>
      </c>
      <c r="P8" t="s">
        <v>336</v>
      </c>
      <c r="S8" t="s">
        <v>39</v>
      </c>
      <c r="T8" t="s">
        <v>41</v>
      </c>
      <c r="U8" t="s">
        <v>42</v>
      </c>
      <c r="V8" t="s">
        <v>282</v>
      </c>
      <c r="W8" s="91"/>
      <c r="X8" s="91"/>
      <c r="Y8" s="92"/>
      <c r="Z8" s="92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takarósapka nyomtatásra fehér - darab</v>
      </c>
      <c r="D9">
        <v>363033</v>
      </c>
      <c r="E9" t="s">
        <v>60</v>
      </c>
      <c r="F9" t="s">
        <v>61</v>
      </c>
      <c r="G9" t="s">
        <v>62</v>
      </c>
      <c r="H9" t="s">
        <v>63</v>
      </c>
      <c r="I9" t="s">
        <v>64</v>
      </c>
      <c r="J9">
        <f>IF($F$1=1,K9,IF($F$1=2,L9,IF($F$1=3,M9,IF($F$1=4,N9,O9))))</f>
        <v>19.848549999999999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29.772824999999997</v>
      </c>
      <c r="Q9" s="6"/>
      <c r="R9" t="s">
        <v>51</v>
      </c>
      <c r="S9" s="7" t="s">
        <v>55</v>
      </c>
      <c r="T9" t="s">
        <v>56</v>
      </c>
      <c r="U9" t="s">
        <v>12</v>
      </c>
      <c r="Y9" t="s">
        <v>292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takarósapka nyomtatásra szürke - darab</v>
      </c>
      <c r="D10">
        <v>363035</v>
      </c>
      <c r="E10" t="s">
        <v>65</v>
      </c>
      <c r="F10" t="s">
        <v>66</v>
      </c>
      <c r="G10" t="s">
        <v>67</v>
      </c>
      <c r="H10" t="s">
        <v>68</v>
      </c>
      <c r="I10" t="s">
        <v>69</v>
      </c>
      <c r="J10">
        <f t="shared" ref="J10:J39" si="2">IF($F$1=1,K10,IF($F$1=2,L10,IF($F$1=3,M10,IF($F$1=4,N10,O10))))</f>
        <v>19.848549999999999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29.772824999999997</v>
      </c>
      <c r="Q10" s="6"/>
      <c r="R10" t="s">
        <v>51</v>
      </c>
      <c r="S10" s="7" t="s">
        <v>55</v>
      </c>
      <c r="T10" t="s">
        <v>56</v>
      </c>
      <c r="U10" t="s">
        <v>12</v>
      </c>
      <c r="Y10" t="s">
        <v>293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műanyag takarósapka,nyomtatásra fehér</v>
      </c>
      <c r="D11">
        <v>363034</v>
      </c>
      <c r="E11" t="s">
        <v>70</v>
      </c>
      <c r="F11" t="s">
        <v>71</v>
      </c>
      <c r="G11" t="s">
        <v>72</v>
      </c>
      <c r="H11" t="s">
        <v>73</v>
      </c>
      <c r="I11" t="s">
        <v>74</v>
      </c>
      <c r="J11">
        <f t="shared" si="2"/>
        <v>20.170480000000001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30.255720000000004</v>
      </c>
      <c r="Q11" s="6"/>
      <c r="R11" t="s">
        <v>51</v>
      </c>
      <c r="S11" s="7" t="s">
        <v>55</v>
      </c>
      <c r="T11" t="s">
        <v>56</v>
      </c>
      <c r="U11" t="s">
        <v>12</v>
      </c>
      <c r="W11">
        <v>2</v>
      </c>
      <c r="Y11" t="s">
        <v>294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műanyag takarósapka,nyomtatásra szürke</v>
      </c>
      <c r="D12">
        <v>363036</v>
      </c>
      <c r="E12" t="s">
        <v>75</v>
      </c>
      <c r="F12" t="s">
        <v>76</v>
      </c>
      <c r="G12" t="s">
        <v>77</v>
      </c>
      <c r="H12" t="s">
        <v>78</v>
      </c>
      <c r="I12" t="s">
        <v>79</v>
      </c>
      <c r="J12">
        <f t="shared" si="2"/>
        <v>20.170480000000001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30.255720000000004</v>
      </c>
      <c r="Q12" s="6"/>
      <c r="R12" t="s">
        <v>51</v>
      </c>
      <c r="S12" s="7" t="s">
        <v>55</v>
      </c>
      <c r="T12" t="s">
        <v>56</v>
      </c>
      <c r="U12" t="s">
        <v>12</v>
      </c>
      <c r="W12">
        <v>2</v>
      </c>
      <c r="Y12" t="s">
        <v>295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műanyag takarósapka,nyomtatásra fekete</v>
      </c>
      <c r="D13">
        <v>400403</v>
      </c>
      <c r="E13" t="s">
        <v>80</v>
      </c>
      <c r="F13" t="s">
        <v>81</v>
      </c>
      <c r="G13" t="s">
        <v>82</v>
      </c>
      <c r="H13" t="s">
        <v>83</v>
      </c>
      <c r="I13" t="s">
        <v>84</v>
      </c>
      <c r="J13">
        <f t="shared" si="2"/>
        <v>20.170480000000001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30.255720000000004</v>
      </c>
      <c r="Q13" s="6"/>
      <c r="R13" t="s">
        <v>51</v>
      </c>
      <c r="S13" s="7" t="s">
        <v>55</v>
      </c>
      <c r="T13" t="s">
        <v>56</v>
      </c>
      <c r="U13" t="s">
        <v>12</v>
      </c>
      <c r="W13">
        <v>2</v>
      </c>
      <c r="Y13" t="s">
        <v>296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takarósapka pántkarra ráütődő pánt</v>
      </c>
      <c r="D14">
        <v>350866</v>
      </c>
      <c r="E14" t="s">
        <v>85</v>
      </c>
      <c r="F14" t="s">
        <v>86</v>
      </c>
      <c r="G14" t="s">
        <v>87</v>
      </c>
      <c r="H14" t="s">
        <v>88</v>
      </c>
      <c r="I14" t="s">
        <v>89</v>
      </c>
      <c r="J14">
        <f t="shared" si="2"/>
        <v>5.5054800000000004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8.2582200000000014</v>
      </c>
      <c r="Q14" s="6"/>
      <c r="R14" t="s">
        <v>51</v>
      </c>
      <c r="S14" s="7" t="s">
        <v>55</v>
      </c>
      <c r="T14" t="s">
        <v>57</v>
      </c>
      <c r="U14" t="s">
        <v>13</v>
      </c>
      <c r="W14">
        <v>2</v>
      </c>
      <c r="Y14" t="s">
        <v>297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takarósapka pántkarra féligráütődő  és közézáródó pánt</v>
      </c>
      <c r="D15">
        <v>350867</v>
      </c>
      <c r="E15" t="s">
        <v>90</v>
      </c>
      <c r="F15" t="s">
        <v>91</v>
      </c>
      <c r="G15" t="s">
        <v>92</v>
      </c>
      <c r="H15" t="s">
        <v>93</v>
      </c>
      <c r="I15" t="s">
        <v>94</v>
      </c>
      <c r="J15">
        <f t="shared" si="2"/>
        <v>5.5054800000000004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8.2582200000000014</v>
      </c>
      <c r="Q15" s="6"/>
      <c r="R15" t="s">
        <v>51</v>
      </c>
      <c r="S15" s="7" t="s">
        <v>55</v>
      </c>
      <c r="T15" t="s">
        <v>57</v>
      </c>
      <c r="U15" t="s">
        <v>13</v>
      </c>
      <c r="W15">
        <v>2</v>
      </c>
      <c r="Y15" t="s">
        <v>298</v>
      </c>
    </row>
    <row r="16" spans="1:26" x14ac:dyDescent="0.25">
      <c r="A16" t="str">
        <f t="shared" si="0"/>
        <v>Strong_P</v>
      </c>
      <c r="B16" t="s">
        <v>58</v>
      </c>
      <c r="C16" t="str">
        <f t="shared" si="1"/>
        <v>92597T StrongHinges S5 takarósapka pántkarra csillapított pántokhoz</v>
      </c>
      <c r="D16" t="s">
        <v>58</v>
      </c>
      <c r="E16" t="s">
        <v>95</v>
      </c>
      <c r="F16" t="s">
        <v>96</v>
      </c>
      <c r="G16" t="s">
        <v>97</v>
      </c>
      <c r="H16" t="s">
        <v>98</v>
      </c>
      <c r="I16" t="s">
        <v>99</v>
      </c>
      <c r="J16">
        <f t="shared" si="2"/>
        <v>2.96048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4.4407199999999998</v>
      </c>
      <c r="Q16" s="6"/>
      <c r="R16" t="s">
        <v>51</v>
      </c>
      <c r="S16" s="7" t="s">
        <v>55</v>
      </c>
      <c r="T16" t="s">
        <v>57</v>
      </c>
      <c r="U16" t="s">
        <v>13</v>
      </c>
      <c r="W16">
        <v>2</v>
      </c>
      <c r="Y16" t="s">
        <v>299</v>
      </c>
    </row>
    <row r="17" spans="1:25" x14ac:dyDescent="0.25">
      <c r="A17" t="str">
        <f t="shared" si="0"/>
        <v>Strong_P</v>
      </c>
      <c r="B17" t="s">
        <v>258</v>
      </c>
      <c r="C17" t="str">
        <f t="shared" si="1"/>
        <v>92596T StrongHinges S5 takarósapka pánttálra csillapított pántokhoz</v>
      </c>
      <c r="D17" t="s">
        <v>258</v>
      </c>
      <c r="E17" t="s">
        <v>288</v>
      </c>
      <c r="F17" t="s">
        <v>259</v>
      </c>
      <c r="G17" t="s">
        <v>260</v>
      </c>
      <c r="H17" t="s">
        <v>261</v>
      </c>
      <c r="I17" t="s">
        <v>262</v>
      </c>
      <c r="J17">
        <f t="shared" si="2"/>
        <v>6.6609699999999998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9.9914550000000002</v>
      </c>
      <c r="R17" t="s">
        <v>51</v>
      </c>
      <c r="S17" s="7" t="s">
        <v>55</v>
      </c>
      <c r="T17" t="s">
        <v>57</v>
      </c>
      <c r="U17" t="s">
        <v>13</v>
      </c>
      <c r="Y17" t="s">
        <v>300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külső sapka MERIVOBOX embléma nélkül, nyomtatáshoz, csiszolt inox</v>
      </c>
      <c r="D18">
        <v>486181</v>
      </c>
      <c r="E18" t="s">
        <v>123</v>
      </c>
      <c r="F18" t="s">
        <v>124</v>
      </c>
      <c r="G18" t="s">
        <v>125</v>
      </c>
      <c r="H18" t="s">
        <v>126</v>
      </c>
      <c r="I18" t="s">
        <v>127</v>
      </c>
      <c r="J18">
        <f t="shared" si="2"/>
        <v>137.47435999999999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164.96923199999998</v>
      </c>
      <c r="Q18" s="6"/>
      <c r="R18" t="s">
        <v>51</v>
      </c>
      <c r="S18" s="7" t="s">
        <v>40</v>
      </c>
      <c r="T18" t="s">
        <v>56</v>
      </c>
      <c r="U18" t="s">
        <v>12</v>
      </c>
      <c r="W18">
        <v>2</v>
      </c>
      <c r="Y18" t="s">
        <v>306</v>
      </c>
    </row>
    <row r="19" spans="1:25" x14ac:dyDescent="0.25">
      <c r="A19" t="str">
        <f t="shared" si="4"/>
        <v>Blum_Z</v>
      </c>
      <c r="B19" t="s">
        <v>59</v>
      </c>
      <c r="C19" t="str">
        <f t="shared" si="1"/>
        <v>IN800B BL ZAA.532C takaró.ANT-IN logó nélkül.műanyag fehér</v>
      </c>
      <c r="D19" t="s">
        <v>59</v>
      </c>
      <c r="E19" t="s">
        <v>142</v>
      </c>
      <c r="F19" t="s">
        <v>143</v>
      </c>
      <c r="G19" t="s">
        <v>144</v>
      </c>
      <c r="H19" t="s">
        <v>145</v>
      </c>
      <c r="I19" t="s">
        <v>146</v>
      </c>
      <c r="J19">
        <f t="shared" si="2"/>
        <v>23.51839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28.222068</v>
      </c>
      <c r="Q19" s="6"/>
      <c r="R19" t="s">
        <v>51</v>
      </c>
      <c r="S19" s="7" t="s">
        <v>40</v>
      </c>
      <c r="T19" t="s">
        <v>56</v>
      </c>
      <c r="U19" t="s">
        <v>12</v>
      </c>
      <c r="Y19" t="s">
        <v>310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takarósapka Antaro  logó nélkül műanyag szürke</v>
      </c>
      <c r="D20">
        <v>236213</v>
      </c>
      <c r="E20" t="s">
        <v>147</v>
      </c>
      <c r="F20" t="s">
        <v>147</v>
      </c>
      <c r="G20" t="s">
        <v>148</v>
      </c>
      <c r="H20" t="s">
        <v>149</v>
      </c>
      <c r="I20" t="s">
        <v>150</v>
      </c>
      <c r="J20">
        <f t="shared" si="2"/>
        <v>23.51839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28.222068</v>
      </c>
      <c r="Q20" s="6"/>
      <c r="R20" t="s">
        <v>51</v>
      </c>
      <c r="S20" s="7" t="s">
        <v>40</v>
      </c>
      <c r="T20" t="s">
        <v>56</v>
      </c>
      <c r="U20" t="s">
        <v>12</v>
      </c>
      <c r="Y20" t="s">
        <v>311</v>
      </c>
    </row>
    <row r="21" spans="1:25" x14ac:dyDescent="0.25">
      <c r="A21" t="str">
        <f t="shared" si="4"/>
        <v>Blum_Z</v>
      </c>
      <c r="B21" s="61">
        <v>507277</v>
      </c>
      <c r="C21" t="str">
        <f t="shared" si="1"/>
        <v>507277 BLUM ZA7.0700 külső takaróelem Legrabox rendszerhez, nyomtatáshoz – karbonfekete</v>
      </c>
      <c r="D21" s="61">
        <v>507277</v>
      </c>
      <c r="E21" s="62" t="s">
        <v>119</v>
      </c>
      <c r="F21" s="62" t="s">
        <v>120</v>
      </c>
      <c r="G21" s="62" t="s">
        <v>525</v>
      </c>
      <c r="H21" s="62" t="s">
        <v>121</v>
      </c>
      <c r="I21" s="62" t="s">
        <v>122</v>
      </c>
      <c r="J21">
        <f t="shared" si="2"/>
        <v>30.771609999999999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/>
      <c r="Q21" s="6"/>
      <c r="S21" s="7" t="s">
        <v>40</v>
      </c>
      <c r="T21" t="s">
        <v>56</v>
      </c>
      <c r="U21" t="s">
        <v>12</v>
      </c>
      <c r="W21">
        <v>2</v>
      </c>
      <c r="Y21" t="s">
        <v>305</v>
      </c>
    </row>
    <row r="22" spans="1:25" x14ac:dyDescent="0.25">
      <c r="A22" t="str">
        <f t="shared" si="4"/>
        <v>Blum_Z</v>
      </c>
      <c r="B22" s="61">
        <v>372347</v>
      </c>
      <c r="C22" t="str">
        <f t="shared" si="1"/>
        <v>372347 BLUM ZA7.0700 külső takarósapka Legrabox fehér SW-M</v>
      </c>
      <c r="D22" s="61">
        <v>372347</v>
      </c>
      <c r="E22" s="62" t="s">
        <v>100</v>
      </c>
      <c r="F22" s="62" t="s">
        <v>101</v>
      </c>
      <c r="G22" s="62" t="s">
        <v>526</v>
      </c>
      <c r="H22" s="62" t="s">
        <v>103</v>
      </c>
      <c r="I22" s="62" t="s">
        <v>104</v>
      </c>
      <c r="J22">
        <f t="shared" si="2"/>
        <v>25.42323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/>
      <c r="Q22" s="6"/>
      <c r="S22" s="7" t="s">
        <v>40</v>
      </c>
      <c r="T22" t="s">
        <v>56</v>
      </c>
      <c r="U22" t="s">
        <v>12</v>
      </c>
      <c r="W22">
        <v>2</v>
      </c>
      <c r="Y22" t="s">
        <v>301</v>
      </c>
    </row>
    <row r="23" spans="1:25" x14ac:dyDescent="0.25">
      <c r="A23" t="str">
        <f t="shared" si="4"/>
        <v>Blum_Z</v>
      </c>
      <c r="B23" s="61">
        <v>342261</v>
      </c>
      <c r="C23" t="str">
        <f t="shared" si="1"/>
        <v>342261 BLUM ZA7.0700 külső takarósapka Legrabox szürke OG-M</v>
      </c>
      <c r="D23" s="61">
        <v>342261</v>
      </c>
      <c r="E23" s="62" t="s">
        <v>105</v>
      </c>
      <c r="F23" s="62" t="s">
        <v>106</v>
      </c>
      <c r="G23" s="62" t="s">
        <v>524</v>
      </c>
      <c r="H23" s="62" t="s">
        <v>108</v>
      </c>
      <c r="I23" s="62" t="s">
        <v>109</v>
      </c>
      <c r="J23">
        <f t="shared" si="2"/>
        <v>25.42323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/>
      <c r="Q23" s="6"/>
      <c r="S23" s="7" t="s">
        <v>40</v>
      </c>
      <c r="T23" t="s">
        <v>56</v>
      </c>
      <c r="U23" t="s">
        <v>12</v>
      </c>
      <c r="W23">
        <v>2</v>
      </c>
      <c r="Y23" t="s">
        <v>302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 70.1503 kartakaró ráütődő pántra, logó nélkül</v>
      </c>
      <c r="D24">
        <v>12093</v>
      </c>
      <c r="E24" t="s">
        <v>43</v>
      </c>
      <c r="F24" t="s">
        <v>44</v>
      </c>
      <c r="G24" t="s">
        <v>45</v>
      </c>
      <c r="H24" t="s">
        <v>46</v>
      </c>
      <c r="I24" t="s">
        <v>47</v>
      </c>
      <c r="J24">
        <f t="shared" si="2"/>
        <v>20.153549999999999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24.184259999999998</v>
      </c>
      <c r="Q24" s="6"/>
      <c r="R24" t="s">
        <v>51</v>
      </c>
      <c r="S24" s="7" t="s">
        <v>40</v>
      </c>
      <c r="T24" t="s">
        <v>57</v>
      </c>
      <c r="U24" t="str">
        <f>překlady!B8</f>
        <v>Fém</v>
      </c>
      <c r="Y24" t="s">
        <v>312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pántkar takaró féligráütődő és közézáródó pánthoz,  logó nélkül</v>
      </c>
      <c r="D25">
        <v>12011</v>
      </c>
      <c r="E25" t="s">
        <v>151</v>
      </c>
      <c r="F25" t="s">
        <v>152</v>
      </c>
      <c r="G25" t="s">
        <v>153</v>
      </c>
      <c r="H25" t="s">
        <v>154</v>
      </c>
      <c r="I25" t="s">
        <v>155</v>
      </c>
      <c r="J25">
        <f t="shared" si="2"/>
        <v>24.67548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29.610575999999998</v>
      </c>
      <c r="Q25" s="6"/>
      <c r="R25" t="s">
        <v>51</v>
      </c>
      <c r="S25" s="7" t="s">
        <v>40</v>
      </c>
      <c r="T25" t="s">
        <v>57</v>
      </c>
      <c r="U25" t="s">
        <v>13</v>
      </c>
      <c r="W25">
        <v>2</v>
      </c>
      <c r="Y25" t="s">
        <v>313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 70.1553 Kar takarósapka</v>
      </c>
      <c r="D26">
        <v>12094</v>
      </c>
      <c r="E26" t="s">
        <v>156</v>
      </c>
      <c r="F26" t="s">
        <v>157</v>
      </c>
      <c r="G26" t="s">
        <v>158</v>
      </c>
      <c r="H26" t="s">
        <v>159</v>
      </c>
      <c r="I26" t="s">
        <v>160</v>
      </c>
      <c r="J26">
        <f t="shared" si="2"/>
        <v>20.153549999999999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24.184259999999998</v>
      </c>
      <c r="Q26" s="6"/>
      <c r="R26" t="s">
        <v>51</v>
      </c>
      <c r="S26" s="7" t="s">
        <v>40</v>
      </c>
      <c r="T26" t="s">
        <v>57</v>
      </c>
      <c r="U26" t="s">
        <v>13</v>
      </c>
      <c r="Y26" t="s">
        <v>314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 90M2503 Kar takarósapka</v>
      </c>
      <c r="D27">
        <v>12271</v>
      </c>
      <c r="E27" t="s">
        <v>161</v>
      </c>
      <c r="F27" t="s">
        <v>162</v>
      </c>
      <c r="G27" t="s">
        <v>163</v>
      </c>
      <c r="H27" t="s">
        <v>164</v>
      </c>
      <c r="I27" t="s">
        <v>165</v>
      </c>
      <c r="J27">
        <f t="shared" si="2"/>
        <v>13.34919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16.019027999999999</v>
      </c>
      <c r="Q27" s="6"/>
      <c r="R27" t="s">
        <v>51</v>
      </c>
      <c r="S27" s="7" t="s">
        <v>40</v>
      </c>
      <c r="T27" t="s">
        <v>57</v>
      </c>
      <c r="U27" t="s">
        <v>13</v>
      </c>
      <c r="Y27" t="s">
        <v>315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pántkar takaró  logó nélkül Onyx</v>
      </c>
      <c r="D28">
        <v>306321</v>
      </c>
      <c r="E28" t="s">
        <v>166</v>
      </c>
      <c r="F28" t="s">
        <v>167</v>
      </c>
      <c r="G28" t="s">
        <v>168</v>
      </c>
      <c r="H28" t="s">
        <v>169</v>
      </c>
      <c r="I28" t="s">
        <v>170</v>
      </c>
      <c r="J28">
        <f t="shared" si="2"/>
        <v>32.416609999999999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38.899932</v>
      </c>
      <c r="Q28" s="6"/>
      <c r="R28" t="s">
        <v>51</v>
      </c>
      <c r="S28" s="7" t="s">
        <v>40</v>
      </c>
      <c r="T28" t="s">
        <v>57</v>
      </c>
      <c r="U28" t="s">
        <v>13</v>
      </c>
      <c r="Y28" t="s">
        <v>316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pántkar takaró  logó nélkül Onyx</v>
      </c>
      <c r="D29">
        <v>306326</v>
      </c>
      <c r="E29" t="s">
        <v>171</v>
      </c>
      <c r="F29" t="s">
        <v>172</v>
      </c>
      <c r="G29" t="s">
        <v>173</v>
      </c>
      <c r="H29" t="s">
        <v>174</v>
      </c>
      <c r="I29" t="s">
        <v>175</v>
      </c>
      <c r="J29">
        <f t="shared" si="2"/>
        <v>32.416609999999999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38.899932</v>
      </c>
      <c r="Q29" s="6"/>
      <c r="R29" t="s">
        <v>51</v>
      </c>
      <c r="S29" s="7" t="s">
        <v>40</v>
      </c>
      <c r="T29" t="s">
        <v>57</v>
      </c>
      <c r="U29" t="s">
        <v>13</v>
      </c>
      <c r="Y29" t="s">
        <v>317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pántkar takaró pánt vékony anyag, Cristallo, 155° new</v>
      </c>
      <c r="D30">
        <v>347984</v>
      </c>
      <c r="E30" t="s">
        <v>176</v>
      </c>
      <c r="F30" t="s">
        <v>177</v>
      </c>
      <c r="G30" t="s">
        <v>178</v>
      </c>
      <c r="H30" t="s">
        <v>179</v>
      </c>
      <c r="I30" t="s">
        <v>180</v>
      </c>
      <c r="J30">
        <f t="shared" si="2"/>
        <v>20.153549999999999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24.184259999999998</v>
      </c>
      <c r="Q30" s="6"/>
      <c r="R30" t="s">
        <v>51</v>
      </c>
      <c r="S30" s="7" t="s">
        <v>40</v>
      </c>
      <c r="T30" t="s">
        <v>57</v>
      </c>
      <c r="U30" t="s">
        <v>13</v>
      </c>
      <c r="Y30" t="s">
        <v>318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takarósapka szürke</v>
      </c>
      <c r="D31">
        <v>294837</v>
      </c>
      <c r="E31" t="s">
        <v>186</v>
      </c>
      <c r="F31" t="s">
        <v>187</v>
      </c>
      <c r="G31" t="s">
        <v>188</v>
      </c>
      <c r="H31" t="s">
        <v>189</v>
      </c>
      <c r="I31" t="s">
        <v>190</v>
      </c>
      <c r="J31">
        <f t="shared" si="2"/>
        <v>17.689679999999999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21.227615999999998</v>
      </c>
      <c r="Q31" s="6"/>
      <c r="R31" t="s">
        <v>51</v>
      </c>
      <c r="S31" s="7" t="s">
        <v>50</v>
      </c>
      <c r="T31" t="s">
        <v>56</v>
      </c>
      <c r="U31" t="s">
        <v>12</v>
      </c>
      <c r="Y31" t="s">
        <v>322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takarósapka fehér</v>
      </c>
      <c r="D32">
        <v>294838</v>
      </c>
      <c r="E32" t="s">
        <v>191</v>
      </c>
      <c r="F32" t="s">
        <v>192</v>
      </c>
      <c r="G32" t="s">
        <v>193</v>
      </c>
      <c r="H32" t="s">
        <v>194</v>
      </c>
      <c r="I32" t="s">
        <v>195</v>
      </c>
      <c r="J32">
        <f t="shared" si="2"/>
        <v>17.689679999999999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21.227615999999998</v>
      </c>
      <c r="Q32" s="6"/>
      <c r="R32" t="s">
        <v>51</v>
      </c>
      <c r="S32" s="7" t="s">
        <v>50</v>
      </c>
      <c r="T32" t="s">
        <v>56</v>
      </c>
      <c r="U32" t="s">
        <v>12</v>
      </c>
      <c r="Y32" t="s">
        <v>323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takarósapka sötétszürke</v>
      </c>
      <c r="D33">
        <v>294839</v>
      </c>
      <c r="E33" t="s">
        <v>196</v>
      </c>
      <c r="F33" t="s">
        <v>197</v>
      </c>
      <c r="G33" t="s">
        <v>198</v>
      </c>
      <c r="H33" t="s">
        <v>199</v>
      </c>
      <c r="I33" t="s">
        <v>200</v>
      </c>
      <c r="J33">
        <f t="shared" si="2"/>
        <v>17.689679999999999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21.227615999999998</v>
      </c>
      <c r="Q33" s="6"/>
      <c r="R33" t="s">
        <v>51</v>
      </c>
      <c r="S33" s="7" t="s">
        <v>50</v>
      </c>
      <c r="T33" t="s">
        <v>56</v>
      </c>
      <c r="U33" t="s">
        <v>12</v>
      </c>
      <c r="Y33" t="s">
        <v>324</v>
      </c>
    </row>
    <row r="34" spans="1:25" x14ac:dyDescent="0.25">
      <c r="A34" t="str">
        <f t="shared" ref="A34:A39" si="8">CONCATENATE(S34,"_",T34)</f>
        <v>Hettich_Z</v>
      </c>
      <c r="B34">
        <v>103739</v>
      </c>
      <c r="C34" t="str">
        <f t="shared" si="1"/>
        <v>103739 HETTICH 10067 Selekta pro 2000 takarósapka szürke</v>
      </c>
      <c r="D34">
        <v>103739</v>
      </c>
      <c r="E34" t="s">
        <v>285</v>
      </c>
      <c r="F34" t="s">
        <v>263</v>
      </c>
      <c r="G34" t="s">
        <v>286</v>
      </c>
      <c r="H34" t="s">
        <v>264</v>
      </c>
      <c r="I34" t="s">
        <v>265</v>
      </c>
      <c r="J34">
        <f t="shared" si="2"/>
        <v>19.657260000000001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23.588712000000001</v>
      </c>
      <c r="R34" t="s">
        <v>51</v>
      </c>
      <c r="S34" s="7" t="s">
        <v>50</v>
      </c>
      <c r="T34" t="s">
        <v>56</v>
      </c>
      <c r="U34" t="s">
        <v>12</v>
      </c>
      <c r="Y34" t="s">
        <v>325</v>
      </c>
    </row>
    <row r="35" spans="1:25" x14ac:dyDescent="0.25">
      <c r="A35" t="str">
        <f t="shared" si="8"/>
        <v>Hettich_Z</v>
      </c>
      <c r="B35">
        <v>518933</v>
      </c>
      <c r="C35" t="str">
        <f t="shared" si="1"/>
        <v xml:space="preserve">518933 </v>
      </c>
      <c r="D35">
        <v>518933</v>
      </c>
      <c r="E35" t="s">
        <v>277</v>
      </c>
      <c r="I35" t="s">
        <v>278</v>
      </c>
      <c r="J35">
        <f t="shared" si="2"/>
        <v>0</v>
      </c>
      <c r="K35" s="8">
        <v>0</v>
      </c>
      <c r="L35">
        <v>0</v>
      </c>
      <c r="M35">
        <v>0</v>
      </c>
      <c r="N35">
        <v>0</v>
      </c>
      <c r="O35">
        <v>0</v>
      </c>
      <c r="P35" s="6">
        <f t="shared" si="5"/>
        <v>0</v>
      </c>
      <c r="R35" t="s">
        <v>272</v>
      </c>
      <c r="S35" s="7" t="s">
        <v>50</v>
      </c>
      <c r="T35" t="s">
        <v>56</v>
      </c>
      <c r="U35" t="s">
        <v>12</v>
      </c>
      <c r="Y35" t="s">
        <v>326</v>
      </c>
    </row>
    <row r="36" spans="1:25" x14ac:dyDescent="0.25">
      <c r="A36" t="str">
        <f t="shared" si="8"/>
        <v>Hettich_P</v>
      </c>
      <c r="B36">
        <v>105363</v>
      </c>
      <c r="C36" t="str">
        <f t="shared" si="1"/>
        <v>105363 HETTICH 9101552 Intermat pántkar takaró</v>
      </c>
      <c r="D36">
        <v>105363</v>
      </c>
      <c r="E36" t="s">
        <v>181</v>
      </c>
      <c r="F36" t="s">
        <v>182</v>
      </c>
      <c r="G36" t="s">
        <v>183</v>
      </c>
      <c r="H36" t="s">
        <v>184</v>
      </c>
      <c r="I36" t="s">
        <v>185</v>
      </c>
      <c r="J36">
        <f t="shared" si="2"/>
        <v>26.228870000000001</v>
      </c>
      <c r="K36" s="8">
        <v>1.62619</v>
      </c>
      <c r="L36">
        <v>6.9320000000000007E-2</v>
      </c>
      <c r="M36">
        <v>0.29670999999999997</v>
      </c>
      <c r="N36">
        <v>26.228870000000001</v>
      </c>
      <c r="O36">
        <v>6.6650000000000001E-2</v>
      </c>
      <c r="P36" s="6">
        <f t="shared" si="5"/>
        <v>31.474643999999998</v>
      </c>
      <c r="Q36" s="6"/>
      <c r="R36" t="s">
        <v>51</v>
      </c>
      <c r="S36" s="7" t="s">
        <v>50</v>
      </c>
      <c r="T36" t="s">
        <v>57</v>
      </c>
      <c r="U36" t="s">
        <v>13</v>
      </c>
      <c r="Y36" t="s">
        <v>329</v>
      </c>
    </row>
    <row r="37" spans="1:25" x14ac:dyDescent="0.25">
      <c r="A37" t="str">
        <f t="shared" si="8"/>
        <v>Hettich_P</v>
      </c>
      <c r="B37">
        <v>105408</v>
      </c>
      <c r="C37" t="str">
        <f t="shared" si="1"/>
        <v>105408 HETTICH 9088251 Sensys pánttál takaró</v>
      </c>
      <c r="D37">
        <v>105408</v>
      </c>
      <c r="E37" t="s">
        <v>287</v>
      </c>
      <c r="F37" t="s">
        <v>266</v>
      </c>
      <c r="G37" t="s">
        <v>267</v>
      </c>
      <c r="H37" t="s">
        <v>268</v>
      </c>
      <c r="I37" t="s">
        <v>269</v>
      </c>
      <c r="J37">
        <f t="shared" si="2"/>
        <v>34.746769999999998</v>
      </c>
      <c r="K37" s="8">
        <v>2.1543000000000001</v>
      </c>
      <c r="L37">
        <v>9.1819999999999999E-2</v>
      </c>
      <c r="M37">
        <v>0.39306999999999997</v>
      </c>
      <c r="N37">
        <v>34.746769999999998</v>
      </c>
      <c r="O37">
        <v>8.8289999999999993E-2</v>
      </c>
      <c r="P37" s="6">
        <f t="shared" si="5"/>
        <v>41.696123999999998</v>
      </c>
      <c r="R37" t="s">
        <v>51</v>
      </c>
      <c r="S37" s="7" t="s">
        <v>50</v>
      </c>
      <c r="T37" t="s">
        <v>57</v>
      </c>
      <c r="U37" t="s">
        <v>13</v>
      </c>
      <c r="Y37" t="s">
        <v>330</v>
      </c>
    </row>
    <row r="38" spans="1:25" x14ac:dyDescent="0.25">
      <c r="A38" t="str">
        <f t="shared" si="8"/>
        <v>Hettich_P</v>
      </c>
      <c r="B38">
        <v>518905</v>
      </c>
      <c r="C38" t="str">
        <f t="shared" si="1"/>
        <v xml:space="preserve">518905 </v>
      </c>
      <c r="D38">
        <v>518905</v>
      </c>
      <c r="E38" t="s">
        <v>270</v>
      </c>
      <c r="I38" t="s">
        <v>271</v>
      </c>
      <c r="J38">
        <f t="shared" si="2"/>
        <v>0</v>
      </c>
      <c r="K38" s="8">
        <v>0</v>
      </c>
      <c r="L38">
        <v>0</v>
      </c>
      <c r="M38">
        <v>0</v>
      </c>
      <c r="N38">
        <v>0</v>
      </c>
      <c r="O38">
        <v>0</v>
      </c>
      <c r="P38" s="6">
        <f t="shared" si="5"/>
        <v>0</v>
      </c>
      <c r="R38" t="s">
        <v>272</v>
      </c>
      <c r="S38" s="7" t="s">
        <v>50</v>
      </c>
      <c r="T38" t="s">
        <v>57</v>
      </c>
      <c r="U38" t="s">
        <v>13</v>
      </c>
      <c r="Y38" t="s">
        <v>331</v>
      </c>
    </row>
    <row r="39" spans="1:25" x14ac:dyDescent="0.25">
      <c r="A39" t="str">
        <f t="shared" si="8"/>
        <v>Hettich_P</v>
      </c>
      <c r="B39">
        <v>519149</v>
      </c>
      <c r="C39" t="str">
        <f t="shared" si="1"/>
        <v>519149 HETTICH 9313092 NOVISYS HANDLEBAR CAP WITHOUT LOGO</v>
      </c>
      <c r="D39">
        <v>519149</v>
      </c>
      <c r="E39" t="s">
        <v>279</v>
      </c>
      <c r="F39" t="s">
        <v>279</v>
      </c>
      <c r="G39" t="s">
        <v>279</v>
      </c>
      <c r="H39" t="s">
        <v>280</v>
      </c>
      <c r="J39">
        <f t="shared" si="2"/>
        <v>0</v>
      </c>
      <c r="K39" s="8">
        <v>0</v>
      </c>
      <c r="L39">
        <v>0</v>
      </c>
      <c r="M39">
        <v>0</v>
      </c>
      <c r="N39">
        <v>0</v>
      </c>
      <c r="O39">
        <v>0</v>
      </c>
      <c r="P39" s="6">
        <f t="shared" si="5"/>
        <v>0</v>
      </c>
      <c r="R39" t="s">
        <v>272</v>
      </c>
      <c r="S39" s="7" t="s">
        <v>50</v>
      </c>
      <c r="T39" t="s">
        <v>57</v>
      </c>
      <c r="U39" t="s">
        <v>13</v>
      </c>
      <c r="Y39" t="s">
        <v>333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335</v>
      </c>
      <c r="B2">
        <v>372347</v>
      </c>
      <c r="C2" t="s">
        <v>301</v>
      </c>
      <c r="D2">
        <v>372347</v>
      </c>
      <c r="E2" t="s">
        <v>100</v>
      </c>
      <c r="F2" t="s">
        <v>101</v>
      </c>
      <c r="G2" t="s">
        <v>102</v>
      </c>
      <c r="H2" t="s">
        <v>103</v>
      </c>
      <c r="I2" t="s">
        <v>104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52</v>
      </c>
      <c r="S2" t="s">
        <v>40</v>
      </c>
      <c r="T2" t="s">
        <v>56</v>
      </c>
      <c r="U2" t="s">
        <v>12</v>
      </c>
      <c r="W2">
        <v>2</v>
      </c>
      <c r="Y2" t="s">
        <v>301</v>
      </c>
    </row>
    <row r="3" spans="1:25" x14ac:dyDescent="0.25">
      <c r="A3" t="s">
        <v>335</v>
      </c>
      <c r="B3">
        <v>342261</v>
      </c>
      <c r="C3" t="s">
        <v>302</v>
      </c>
      <c r="D3">
        <v>342261</v>
      </c>
      <c r="E3" t="s">
        <v>105</v>
      </c>
      <c r="F3" t="s">
        <v>106</v>
      </c>
      <c r="G3" t="s">
        <v>107</v>
      </c>
      <c r="H3" t="s">
        <v>108</v>
      </c>
      <c r="I3" t="s">
        <v>109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52</v>
      </c>
      <c r="S3" t="s">
        <v>40</v>
      </c>
      <c r="T3" t="s">
        <v>56</v>
      </c>
      <c r="U3" t="s">
        <v>12</v>
      </c>
      <c r="W3">
        <v>2</v>
      </c>
      <c r="Y3" t="s">
        <v>302</v>
      </c>
    </row>
    <row r="4" spans="1:25" x14ac:dyDescent="0.25">
      <c r="A4" t="s">
        <v>335</v>
      </c>
      <c r="B4">
        <v>386188</v>
      </c>
      <c r="C4" t="s">
        <v>303</v>
      </c>
      <c r="D4">
        <v>386188</v>
      </c>
      <c r="E4" t="s">
        <v>110</v>
      </c>
      <c r="F4" t="s">
        <v>111</v>
      </c>
      <c r="G4" t="s">
        <v>112</v>
      </c>
      <c r="H4" t="s">
        <v>113</v>
      </c>
      <c r="I4" t="s">
        <v>114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52</v>
      </c>
      <c r="S4" t="s">
        <v>40</v>
      </c>
      <c r="T4" t="s">
        <v>56</v>
      </c>
      <c r="U4" t="s">
        <v>12</v>
      </c>
      <c r="W4">
        <v>2</v>
      </c>
      <c r="Y4" t="s">
        <v>303</v>
      </c>
    </row>
    <row r="5" spans="1:25" x14ac:dyDescent="0.25">
      <c r="A5" t="s">
        <v>335</v>
      </c>
      <c r="B5">
        <v>499740</v>
      </c>
      <c r="C5" t="s">
        <v>304</v>
      </c>
      <c r="D5">
        <v>499740</v>
      </c>
      <c r="E5" t="s">
        <v>115</v>
      </c>
      <c r="F5" t="s">
        <v>116</v>
      </c>
      <c r="G5" t="s">
        <v>250</v>
      </c>
      <c r="H5" t="s">
        <v>117</v>
      </c>
      <c r="I5" t="s">
        <v>118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52</v>
      </c>
      <c r="S5" t="s">
        <v>40</v>
      </c>
      <c r="T5" t="s">
        <v>56</v>
      </c>
      <c r="U5" t="s">
        <v>12</v>
      </c>
      <c r="W5">
        <v>2</v>
      </c>
      <c r="Y5" t="s">
        <v>304</v>
      </c>
    </row>
    <row r="6" spans="1:25" x14ac:dyDescent="0.25">
      <c r="A6" t="s">
        <v>335</v>
      </c>
      <c r="B6">
        <v>507277</v>
      </c>
      <c r="C6" t="s">
        <v>305</v>
      </c>
      <c r="D6">
        <v>507277</v>
      </c>
      <c r="E6" t="s">
        <v>119</v>
      </c>
      <c r="F6" t="s">
        <v>120</v>
      </c>
      <c r="G6" t="s">
        <v>251</v>
      </c>
      <c r="H6" t="s">
        <v>121</v>
      </c>
      <c r="I6" t="s">
        <v>122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52</v>
      </c>
      <c r="S6" t="s">
        <v>40</v>
      </c>
      <c r="T6" t="s">
        <v>56</v>
      </c>
      <c r="U6" t="s">
        <v>12</v>
      </c>
      <c r="W6">
        <v>2</v>
      </c>
      <c r="Y6" t="s">
        <v>305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128</v>
      </c>
      <c r="F8" t="s">
        <v>129</v>
      </c>
      <c r="G8" t="s">
        <v>130</v>
      </c>
      <c r="H8" t="s">
        <v>131</v>
      </c>
      <c r="I8" t="s">
        <v>132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52</v>
      </c>
      <c r="S8" s="7" t="s">
        <v>40</v>
      </c>
      <c r="T8" t="s">
        <v>56</v>
      </c>
      <c r="U8" t="s">
        <v>12</v>
      </c>
      <c r="W8">
        <v>2</v>
      </c>
      <c r="Y8" t="s">
        <v>307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133</v>
      </c>
      <c r="F9" t="s">
        <v>134</v>
      </c>
      <c r="G9" t="s">
        <v>135</v>
      </c>
      <c r="H9" t="s">
        <v>136</v>
      </c>
      <c r="I9" t="s">
        <v>137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52</v>
      </c>
      <c r="S9" s="7" t="s">
        <v>40</v>
      </c>
      <c r="T9" t="s">
        <v>56</v>
      </c>
      <c r="U9" t="s">
        <v>12</v>
      </c>
      <c r="W9">
        <v>2</v>
      </c>
      <c r="Y9" t="s">
        <v>308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138</v>
      </c>
      <c r="F10" t="s">
        <v>139</v>
      </c>
      <c r="G10" t="s">
        <v>252</v>
      </c>
      <c r="H10" t="s">
        <v>140</v>
      </c>
      <c r="I10" t="s">
        <v>141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52</v>
      </c>
      <c r="S10" s="7" t="s">
        <v>40</v>
      </c>
      <c r="T10" t="s">
        <v>56</v>
      </c>
      <c r="U10" t="s">
        <v>12</v>
      </c>
      <c r="W10">
        <v>2</v>
      </c>
      <c r="Y10" t="s">
        <v>309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207</v>
      </c>
      <c r="F12" t="s">
        <v>207</v>
      </c>
      <c r="G12" t="s">
        <v>207</v>
      </c>
      <c r="H12" t="s">
        <v>207</v>
      </c>
      <c r="I12" t="s">
        <v>208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52</v>
      </c>
      <c r="S12" s="7" t="s">
        <v>50</v>
      </c>
      <c r="T12" t="s">
        <v>56</v>
      </c>
      <c r="U12" t="s">
        <v>12</v>
      </c>
      <c r="V12">
        <v>50</v>
      </c>
      <c r="W12">
        <v>1</v>
      </c>
      <c r="Y12" t="s">
        <v>319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209</v>
      </c>
      <c r="F13" t="s">
        <v>209</v>
      </c>
      <c r="G13" t="s">
        <v>209</v>
      </c>
      <c r="H13" t="s">
        <v>209</v>
      </c>
      <c r="I13" t="s">
        <v>210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52</v>
      </c>
      <c r="S13" s="7" t="s">
        <v>50</v>
      </c>
      <c r="T13" t="s">
        <v>56</v>
      </c>
      <c r="U13" t="s">
        <v>12</v>
      </c>
      <c r="V13">
        <v>50</v>
      </c>
      <c r="W13">
        <v>1</v>
      </c>
      <c r="Y13" t="s">
        <v>320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211</v>
      </c>
      <c r="F14" t="s">
        <v>211</v>
      </c>
      <c r="G14" t="s">
        <v>211</v>
      </c>
      <c r="H14" t="s">
        <v>211</v>
      </c>
      <c r="I14" t="s">
        <v>212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52</v>
      </c>
      <c r="S14" s="7" t="s">
        <v>50</v>
      </c>
      <c r="T14" t="s">
        <v>56</v>
      </c>
      <c r="U14" t="s">
        <v>12</v>
      </c>
      <c r="V14">
        <v>50</v>
      </c>
      <c r="W14">
        <v>1</v>
      </c>
      <c r="Y14" t="s">
        <v>321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201</v>
      </c>
      <c r="F16" t="s">
        <v>201</v>
      </c>
      <c r="G16" t="s">
        <v>201</v>
      </c>
      <c r="H16" t="s">
        <v>201</v>
      </c>
      <c r="I16" t="s">
        <v>201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52</v>
      </c>
      <c r="S16" s="7" t="s">
        <v>50</v>
      </c>
      <c r="T16" t="s">
        <v>57</v>
      </c>
      <c r="U16" t="s">
        <v>13</v>
      </c>
      <c r="Y16" t="s">
        <v>327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202</v>
      </c>
      <c r="F17" t="s">
        <v>202</v>
      </c>
      <c r="G17" t="s">
        <v>202</v>
      </c>
      <c r="H17" t="s">
        <v>202</v>
      </c>
      <c r="I17" t="s">
        <v>203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52</v>
      </c>
      <c r="S17" s="7" t="s">
        <v>50</v>
      </c>
      <c r="T17" t="s">
        <v>57</v>
      </c>
      <c r="U17" t="s">
        <v>13</v>
      </c>
      <c r="V17">
        <v>50</v>
      </c>
      <c r="Y17" t="s">
        <v>328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204</v>
      </c>
      <c r="F18" t="s">
        <v>205</v>
      </c>
      <c r="G18" t="s">
        <v>206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52</v>
      </c>
      <c r="S18" s="7" t="s">
        <v>50</v>
      </c>
      <c r="T18" t="s">
        <v>57</v>
      </c>
      <c r="U18" t="s">
        <v>13</v>
      </c>
      <c r="Y18" t="s">
        <v>283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289</v>
      </c>
      <c r="F20" t="s">
        <v>273</v>
      </c>
      <c r="G20" t="s">
        <v>274</v>
      </c>
      <c r="H20" t="s">
        <v>275</v>
      </c>
      <c r="I20" t="s">
        <v>276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52</v>
      </c>
      <c r="S20" s="7" t="s">
        <v>50</v>
      </c>
      <c r="T20" t="s">
        <v>57</v>
      </c>
      <c r="U20" t="s">
        <v>13</v>
      </c>
      <c r="V20">
        <v>50</v>
      </c>
      <c r="Y20" t="s">
        <v>332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31"/>
      <c r="H2" s="31"/>
      <c r="I2" s="31"/>
      <c r="J2" s="31"/>
      <c r="K2" s="31"/>
      <c r="L2" s="94"/>
      <c r="M2" s="94"/>
    </row>
    <row r="6" spans="1:13" x14ac:dyDescent="0.25">
      <c r="B6" t="s">
        <v>339</v>
      </c>
    </row>
    <row r="7" spans="1:13" x14ac:dyDescent="0.25">
      <c r="B7" t="s">
        <v>471</v>
      </c>
    </row>
    <row r="9" spans="1:13" x14ac:dyDescent="0.25">
      <c r="B9" t="s">
        <v>257</v>
      </c>
      <c r="C9" s="28">
        <f>Config!C8</f>
        <v>0</v>
      </c>
    </row>
    <row r="10" spans="1:13" x14ac:dyDescent="0.25">
      <c r="B10" t="s">
        <v>244</v>
      </c>
      <c r="C10" s="93" t="e">
        <f>VLOOKUP(Config!C6,karty!C:E,3,0)</f>
        <v>#N/A</v>
      </c>
    </row>
    <row r="11" spans="1:13" x14ac:dyDescent="0.25">
      <c r="C11" s="93"/>
    </row>
    <row r="12" spans="1:13" x14ac:dyDescent="0.25">
      <c r="B12" t="s">
        <v>15</v>
      </c>
      <c r="C12" s="29">
        <f>Config!C9</f>
        <v>0</v>
      </c>
    </row>
    <row r="13" spans="1:13" x14ac:dyDescent="0.25">
      <c r="B13" t="s">
        <v>29</v>
      </c>
      <c r="C13" s="29" t="e">
        <f>VLOOKUP(Config!C10,překlady!B13:O14,14,0)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2025-11-11T11:55:06Z</dcterms:modified>
</cp:coreProperties>
</file>