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8" documentId="8_{63F9D257-AA3A-4898-8B2F-63213FDDE4D7}" xr6:coauthVersionLast="47" xr6:coauthVersionMax="47" xr10:uidLastSave="{13064BAF-75E7-4255-9F7A-FBD7F75BEB66}"/>
  <workbookProtection workbookAlgorithmName="SHA-512" workbookHashValue="YmUEWEv3TYkh1OH/RCV+Rkj9b9F+skkj01C45Jd75ZAGgIk12bwe7PbEMRKzcw79KwXUVICdO4cuR9GN3to68w==" workbookSaltValue="ShGHjIH7isY7u7+jdXTDNQ==" workbookSpinCount="100000" lockStructure="1"/>
  <bookViews>
    <workbookView xWindow="-12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6" l="1"/>
  <c r="D15" i="6"/>
  <c r="D13" i="6"/>
  <c r="D11" i="6"/>
  <c r="D9" i="6"/>
  <c r="D13" i="9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B14" i="13" s="1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AK252" i="2" l="1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T11" i="2" s="1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K35" i="6" s="1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7" i="6" l="1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<sst xmlns="http://schemas.openxmlformats.org/spreadsheetml/2006/main" count="6763" uniqueCount="2760">
  <si>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</si>
  <si>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</si>
  <si>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</si>
  <si>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</si>
  <si>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</si>
  <si>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</si>
  <si>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</si>
  <si>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</si>
  <si>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</si>
  <si>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</si>
  <si>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</si>
  <si>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</si>
  <si>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</si>
  <si>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</si>
  <si>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</si>
  <si>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</si>
  <si>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</si>
  <si>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</si>
  <si>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</si>
  <si>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</si>
  <si>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</si>
  <si>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</si>
  <si>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</si>
  <si>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</si>
  <si>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</si>
  <si>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</si>
  <si>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</si>
  <si>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</si>
  <si>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</si>
  <si>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</si>
  <si>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</si>
  <si>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</si>
  <si>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</si>
  <si>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</si>
  <si>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</si>
  <si>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</si>
  <si>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</si>
  <si>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</si>
  <si>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</si>
  <si>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</si>
  <si>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</si>
  <si>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</si>
  <si>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</si>
  <si>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</si>
  <si>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</si>
  <si>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</si>
  <si>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</si>
  <si>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</si>
  <si>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</si>
  <si>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</si>
  <si>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</si>
  <si>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</si>
  <si>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</si>
  <si>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</si>
  <si>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</si>
  <si>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</si>
  <si>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</si>
  <si>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</si>
  <si>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</si>
  <si>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</si>
  <si>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</si>
  <si>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</si>
  <si>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</si>
  <si>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</si>
  <si>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</si>
  <si>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</si>
  <si>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</si>
  <si>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</si>
  <si>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</si>
  <si>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</si>
  <si>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</si>
  <si>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</si>
  <si>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</si>
  <si>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</si>
  <si>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</si>
  <si>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</si>
  <si>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</si>
  <si>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</si>
  <si>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</si>
  <si>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</si>
  <si>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</si>
  <si>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</si>
  <si>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</si>
  <si>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</si>
  <si>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</si>
  <si>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</si>
  <si>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</si>
  <si>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</si>
  <si>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</si>
  <si>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</si>
  <si>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</si>
  <si>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</si>
  <si>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</si>
  <si>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</si>
  <si>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</si>
  <si>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</si>
  <si>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</si>
  <si>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</si>
  <si>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</si>
  <si>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</si>
  <si>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</si>
  <si>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</si>
  <si>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</si>
  <si>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</si>
  <si>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</si>
  <si>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</si>
  <si>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</si>
  <si>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</si>
  <si>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</si>
  <si>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</si>
  <si>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</si>
  <si>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</si>
  <si>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</si>
  <si>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</si>
  <si>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</si>
  <si>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</si>
  <si>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</si>
  <si>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</si>
  <si>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</si>
  <si>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</si>
  <si>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</si>
  <si>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</si>
  <si>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</si>
  <si>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</si>
  <si>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</si>
  <si>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</si>
  <si>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</si>
  <si>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</si>
  <si>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</si>
  <si>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</si>
  <si>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</si>
  <si>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</si>
  <si>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</si>
  <si>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</si>
  <si>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</si>
  <si>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</si>
  <si>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</si>
  <si>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</si>
  <si>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</si>
  <si>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</si>
  <si>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</si>
  <si>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</si>
  <si>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</si>
  <si>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</si>
  <si>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</si>
  <si>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</si>
  <si>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</si>
  <si>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</si>
  <si>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</si>
  <si>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</si>
  <si>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</si>
  <si>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</si>
  <si>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</si>
  <si>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</si>
  <si>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</si>
  <si>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</si>
  <si>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</si>
  <si>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</si>
  <si>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</si>
  <si>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</si>
  <si>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</si>
  <si>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</si>
  <si>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</si>
  <si>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</si>
  <si>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</si>
  <si>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</si>
  <si>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</si>
  <si>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</si>
  <si>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</si>
  <si>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</si>
  <si>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</si>
  <si>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</si>
  <si>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</si>
  <si>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</si>
  <si>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</si>
  <si>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</si>
  <si>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</si>
  <si>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</si>
  <si>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</si>
  <si>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</si>
  <si>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</si>
  <si>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</si>
  <si>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</si>
  <si>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</si>
  <si>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</si>
  <si>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</si>
  <si>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</si>
  <si>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</si>
  <si>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</si>
  <si>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</si>
  <si>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</si>
  <si>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</si>
  <si>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</si>
  <si>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</si>
  <si>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</si>
  <si>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</si>
  <si>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</si>
  <si>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</si>
  <si>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</si>
  <si>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</si>
  <si>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</si>
  <si>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</si>
  <si>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</si>
  <si>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</si>
  <si>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</si>
  <si>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</si>
  <si>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</si>
  <si>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</si>
  <si>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</si>
  <si>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</si>
  <si>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</si>
  <si>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</si>
  <si>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</si>
  <si>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</si>
  <si>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</si>
  <si>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</si>
  <si>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</si>
  <si>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</si>
  <si>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</si>
  <si>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</si>
  <si>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</si>
  <si>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</si>
  <si>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</si>
  <si>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</si>
  <si>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</si>
  <si>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</si>
  <si>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</si>
  <si>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</si>
  <si>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</si>
  <si>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</si>
  <si>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</si>
  <si>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</si>
  <si>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</si>
  <si>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</si>
  <si>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</si>
  <si>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</si>
  <si>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</si>
  <si>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</si>
  <si>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</si>
  <si>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</si>
  <si>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</si>
  <si>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</si>
  <si>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</si>
  <si>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</si>
  <si>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</si>
  <si>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</si>
  <si>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</si>
  <si>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</si>
  <si>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</si>
  <si>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</si>
  <si>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</si>
  <si>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</si>
  <si>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</si>
  <si>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</si>
  <si>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</si>
  <si>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</si>
  <si>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</si>
  <si>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</si>
  <si>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</si>
  <si>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</si>
  <si>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</si>
  <si>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</si>
  <si>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</si>
  <si>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</si>
  <si>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</si>
  <si>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</si>
  <si>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</si>
  <si>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</si>
  <si>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</si>
  <si>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</si>
  <si>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</si>
  <si>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</si>
  <si>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</si>
  <si>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</si>
  <si>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</si>
  <si>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</si>
  <si>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</si>
  <si>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</si>
  <si>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</si>
  <si>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</si>
  <si>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</si>
  <si>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</si>
  <si>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</si>
  <si>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</si>
  <si>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</si>
  <si>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</si>
  <si>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</si>
  <si>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</si>
  <si>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</si>
  <si>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</si>
  <si>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</si>
  <si>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</si>
  <si>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</si>
  <si>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</si>
  <si>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</si>
  <si>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</si>
  <si>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</si>
  <si>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</si>
  <si>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</si>
  <si>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</si>
  <si>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</si>
  <si>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</si>
  <si>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</si>
  <si>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</si>
  <si>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</si>
  <si>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</si>
  <si>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</si>
  <si>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</si>
  <si>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</si>
  <si>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</si>
  <si>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</si>
  <si>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</si>
  <si>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</si>
  <si>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</si>
  <si>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</si>
  <si>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</si>
  <si>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</si>
  <si>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</si>
  <si>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</si>
  <si>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</si>
  <si>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</si>
  <si>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</si>
  <si>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</si>
  <si>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</si>
  <si>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</si>
  <si>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</si>
  <si>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</si>
  <si>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</si>
  <si>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</si>
  <si>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</si>
  <si>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</si>
  <si>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</si>
  <si>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</si>
  <si>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</si>
  <si>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</si>
  <si>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</si>
  <si>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</si>
  <si>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</si>
  <si>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</si>
  <si>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</si>
  <si>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</si>
  <si>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</si>
  <si>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</si>
  <si>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</si>
  <si>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</si>
  <si>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</si>
  <si>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</si>
  <si>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</si>
  <si>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</si>
  <si>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</si>
  <si>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</si>
  <si>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</si>
  <si>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</si>
  <si>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</si>
  <si>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</si>
  <si>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</si>
  <si>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</si>
  <si>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</si>
  <si>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</si>
  <si>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</si>
  <si>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</si>
  <si>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</si>
  <si>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</si>
  <si>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</si>
  <si>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</si>
  <si>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</si>
  <si>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</si>
  <si>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</si>
  <si>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</si>
  <si>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</si>
  <si>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</si>
  <si>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</si>
  <si>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</si>
  <si>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</si>
  <si>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</si>
  <si>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</si>
  <si>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</si>
  <si>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</si>
  <si>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</si>
  <si>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</si>
  <si>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</si>
  <si>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</si>
  <si>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</si>
  <si>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</si>
  <si>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</si>
  <si>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</si>
  <si>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</si>
  <si>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</si>
  <si>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</si>
  <si>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</si>
  <si>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</si>
  <si>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</si>
  <si>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</si>
  <si>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</si>
  <si>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</si>
  <si>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</si>
  <si>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</si>
  <si>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</si>
  <si>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</si>
  <si>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</si>
  <si>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</si>
  <si>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</si>
  <si>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</si>
  <si>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</si>
  <si>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</si>
  <si>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</si>
  <si>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</si>
  <si>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</si>
  <si>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</si>
  <si>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</si>
  <si>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</si>
  <si>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</si>
  <si>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</si>
  <si>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</si>
  <si>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</si>
  <si>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</si>
  <si>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</si>
  <si>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</si>
  <si>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</si>
  <si>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</si>
  <si>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</si>
  <si>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</si>
  <si>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</si>
  <si>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</si>
  <si>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</si>
  <si>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</si>
  <si>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</si>
  <si>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</si>
  <si>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</si>
  <si>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</si>
  <si>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</si>
  <si>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</si>
  <si>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</si>
  <si>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</si>
  <si>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</si>
  <si>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</si>
  <si>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</si>
  <si>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</si>
  <si>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</si>
  <si>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</si>
  <si>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</si>
  <si>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</si>
  <si>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</si>
  <si>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</si>
  <si>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</si>
  <si>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</si>
  <si>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</si>
  <si>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</si>
  <si>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</si>
  <si>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</si>
  <si>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</si>
  <si>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</si>
  <si>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</si>
  <si>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</si>
  <si>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</si>
  <si>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</si>
  <si>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</si>
  <si>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</si>
  <si>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</si>
  <si>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</si>
  <si>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</si>
  <si>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</si>
  <si>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</si>
  <si>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</si>
  <si>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</si>
  <si>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</si>
  <si>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</si>
  <si>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</si>
  <si>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</si>
  <si>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</si>
  <si>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</si>
  <si>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</si>
  <si>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</si>
  <si>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</si>
  <si>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</si>
  <si>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</si>
  <si>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</si>
  <si>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</si>
  <si>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</si>
  <si>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</si>
  <si>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</si>
  <si>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</si>
  <si>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</si>
  <si>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</si>
  <si>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</si>
  <si>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</si>
  <si>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</si>
  <si>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</si>
  <si>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</si>
  <si>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</si>
  <si>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</si>
  <si>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</si>
  <si>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</si>
  <si>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</si>
  <si>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</si>
  <si>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</si>
  <si>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</si>
  <si>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</si>
  <si>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</si>
  <si>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</si>
  <si>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</si>
  <si>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</si>
  <si>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</si>
  <si>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</si>
  <si>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</si>
  <si>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</si>
  <si>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</si>
  <si>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</si>
  <si>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</si>
  <si>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</si>
  <si>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</si>
  <si>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</si>
  <si>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</si>
  <si>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</si>
  <si>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</si>
  <si>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</si>
  <si>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</si>
  <si>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</si>
  <si>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</si>
  <si>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</si>
  <si>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</si>
  <si>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</si>
  <si>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</si>
  <si>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</si>
  <si>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</si>
  <si>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</si>
  <si>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</si>
  <si>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</si>
  <si>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</si>
  <si>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</si>
  <si>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</si>
  <si>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</si>
  <si>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</si>
  <si>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</si>
  <si>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</si>
  <si>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</si>
  <si>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</si>
  <si>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</si>
  <si>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</si>
  <si>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</si>
  <si>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</si>
  <si>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</si>
  <si>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</si>
  <si>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</si>
  <si>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</si>
  <si>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</si>
  <si>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</si>
  <si>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</si>
  <si>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</si>
  <si>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</si>
  <si>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</si>
  <si>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</si>
  <si>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</si>
  <si>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</si>
  <si>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</si>
  <si>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</si>
  <si>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</si>
  <si>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</si>
  <si>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</si>
  <si>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</si>
  <si>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</si>
  <si>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</si>
  <si>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</si>
  <si>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</si>
  <si>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</si>
  <si>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</si>
  <si>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</si>
  <si>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</si>
  <si>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</si>
  <si>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</si>
  <si>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</si>
  <si>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</si>
  <si>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</si>
  <si>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</si>
  <si>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</si>
  <si>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</si>
  <si>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</si>
  <si>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</si>
  <si>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</si>
  <si>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</si>
  <si>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</si>
  <si>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</si>
  <si>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</si>
  <si>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</si>
  <si>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</si>
  <si>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</si>
  <si>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</si>
  <si>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</si>
  <si>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</si>
  <si>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</si>
  <si>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</si>
  <si>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</si>
  <si>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</si>
  <si>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</si>
  <si>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</si>
  <si>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</si>
  <si>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</si>
  <si>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</si>
  <si>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</si>
  <si>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</si>
  <si>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</si>
  <si>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</si>
  <si>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</si>
  <si>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</si>
  <si>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</si>
  <si>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</si>
  <si>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</si>
  <si>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</si>
  <si>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</si>
  <si>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</si>
  <si>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</si>
  <si>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</si>
  <si>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</si>
  <si>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</si>
  <si>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</si>
  <si>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</si>
  <si>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</si>
  <si>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</si>
  <si>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</si>
  <si>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</si>
  <si>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</si>
  <si>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</si>
  <si>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</si>
  <si>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</si>
  <si>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</si>
  <si>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</si>
  <si>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</si>
  <si>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</si>
  <si>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</si>
  <si>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</si>
  <si>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</si>
  <si>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</si>
  <si>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</si>
  <si>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</si>
  <si>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</si>
  <si>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</si>
  <si>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</si>
  <si>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</si>
  <si>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</si>
  <si>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</si>
  <si>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</si>
  <si>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</si>
  <si>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</si>
  <si>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</si>
  <si>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</si>
  <si>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</si>
  <si>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</si>
  <si>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</si>
  <si>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</si>
  <si>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</si>
  <si>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</si>
  <si>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</si>
  <si>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</si>
  <si>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</si>
  <si>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</si>
  <si>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</si>
  <si>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</si>
  <si>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</si>
  <si>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</si>
  <si>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</si>
  <si>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</si>
  <si>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</si>
  <si>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</si>
  <si>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</si>
  <si>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</si>
  <si>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</si>
  <si>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</si>
  <si>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</si>
  <si>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</si>
  <si>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</si>
  <si>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</si>
  <si>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</si>
  <si>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</si>
  <si>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</si>
  <si>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</si>
  <si>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</si>
  <si>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</si>
  <si>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</si>
  <si>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</si>
  <si>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</si>
  <si>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</si>
  <si>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</si>
  <si>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</si>
  <si>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</si>
  <si>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</si>
  <si>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</si>
  <si>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</si>
  <si>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</si>
  <si>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</si>
  <si>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</si>
  <si>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</si>
  <si>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</si>
  <si>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</si>
  <si>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</si>
  <si>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</si>
  <si>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</si>
  <si>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</si>
  <si>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</si>
  <si>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</si>
  <si>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</si>
  <si>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</si>
  <si>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</si>
  <si>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</si>
  <si>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</si>
  <si>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</si>
  <si>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</si>
  <si>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</si>
  <si>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</si>
  <si>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</si>
  <si>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</si>
  <si>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</si>
  <si>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</si>
  <si>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</si>
  <si>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</si>
  <si>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</si>
  <si>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</si>
  <si>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</si>
  <si>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</si>
  <si>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</si>
  <si>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</si>
  <si>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</si>
  <si>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</si>
  <si>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</si>
  <si>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</si>
  <si>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</si>
  <si>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</si>
  <si>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</si>
  <si>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</si>
  <si>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</si>
  <si>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</si>
  <si>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</si>
  <si>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</si>
  <si>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</si>
  <si>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</si>
  <si>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</si>
  <si>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</si>
  <si>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</si>
  <si>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</si>
  <si>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</si>
  <si>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</si>
  <si>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</si>
  <si>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</si>
  <si>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</si>
  <si>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</si>
  <si>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</si>
  <si>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</si>
  <si>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</si>
  <si>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</si>
  <si>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</si>
  <si>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</si>
  <si>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</si>
  <si>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</si>
  <si>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</si>
  <si>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</si>
  <si>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</si>
  <si>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</si>
  <si>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</si>
  <si>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</si>
  <si>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</si>
  <si>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</si>
  <si>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</si>
  <si>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</si>
  <si>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</si>
  <si>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</si>
  <si>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</si>
  <si>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</si>
  <si>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</si>
  <si>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</si>
  <si>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</si>
  <si>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</si>
  <si>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</si>
  <si>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</si>
  <si>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</si>
  <si>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</si>
  <si>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</si>
  <si>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</si>
  <si>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</si>
  <si>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</si>
  <si>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</si>
  <si>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</si>
  <si>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</si>
  <si>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</si>
  <si>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</si>
  <si>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</si>
  <si>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</si>
  <si>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</si>
  <si>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</si>
  <si>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</si>
  <si>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</si>
  <si>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</si>
  <si>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</si>
  <si>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</si>
  <si>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</si>
  <si>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</si>
  <si>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</si>
  <si>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</si>
  <si>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</si>
  <si>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</si>
  <si>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</si>
  <si>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</si>
  <si>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</si>
  <si>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</si>
  <si>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</si>
  <si>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</si>
  <si>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</si>
  <si>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</si>
  <si>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</si>
  <si>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</si>
  <si>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</si>
  <si>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</si>
  <si>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</si>
  <si>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</si>
  <si>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</si>
  <si>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</si>
  <si>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</si>
  <si>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</si>
  <si>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</si>
  <si>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</si>
  <si>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</si>
  <si>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</si>
  <si>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</si>
  <si>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</si>
  <si>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</si>
  <si>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</si>
  <si>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</si>
  <si>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</si>
  <si>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</si>
  <si>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</si>
  <si>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</si>
  <si>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</si>
  <si>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</si>
  <si>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</si>
  <si>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</si>
  <si>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</si>
  <si>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</si>
  <si>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</si>
  <si>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</si>
  <si>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</si>
  <si>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</si>
  <si>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</si>
  <si>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</si>
  <si>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</si>
  <si>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</si>
  <si>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</si>
  <si>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</si>
  <si>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</si>
  <si>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</si>
  <si>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</si>
  <si>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</si>
  <si>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</si>
  <si>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</si>
  <si>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</si>
  <si>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</si>
  <si>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</si>
  <si>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</si>
  <si>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</si>
  <si>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</si>
  <si>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</si>
  <si>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</si>
  <si>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</si>
  <si>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</si>
  <si>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</si>
  <si>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</si>
  <si>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</si>
  <si>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</si>
  <si>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</si>
  <si>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</si>
  <si>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</si>
  <si>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</si>
  <si>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</si>
  <si>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</si>
  <si>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</si>
  <si>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</si>
  <si>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</si>
  <si>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</si>
  <si>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</si>
  <si>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</si>
  <si>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</si>
  <si>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</si>
  <si>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</si>
  <si>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</si>
  <si>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</si>
  <si>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</si>
  <si>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</si>
  <si>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</si>
  <si>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</si>
  <si>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</si>
  <si>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</si>
  <si>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</si>
  <si>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</si>
  <si>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</si>
  <si>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</si>
  <si>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</si>
  <si>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</si>
  <si>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</si>
  <si>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</si>
  <si>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</si>
  <si>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</si>
  <si>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</si>
  <si>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</si>
  <si>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</si>
  <si>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</si>
  <si>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</si>
  <si>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</si>
  <si>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</si>
  <si>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</si>
  <si>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</si>
  <si>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</si>
  <si>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</si>
  <si>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</si>
  <si>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</si>
  <si>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</si>
  <si>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</si>
  <si>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</si>
  <si>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</si>
  <si>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</si>
  <si>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</si>
  <si>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</si>
  <si>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</si>
  <si>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</si>
  <si>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</si>
  <si>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</si>
  <si>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</si>
  <si>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</si>
  <si>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</si>
  <si>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</si>
  <si>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</si>
  <si>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</si>
  <si>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</si>
  <si>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</si>
  <si>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</si>
  <si>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</si>
  <si>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</si>
  <si>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</si>
  <si>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</si>
  <si>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</si>
  <si>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</si>
  <si>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</si>
  <si>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</si>
  <si>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</si>
  <si>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</si>
  <si>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</si>
  <si>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</si>
  <si>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</si>
  <si>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</si>
  <si>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</si>
  <si>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</si>
  <si>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</si>
  <si>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</si>
  <si>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</si>
  <si>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</si>
  <si>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</si>
  <si>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</si>
  <si>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</si>
  <si>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</si>
  <si>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</si>
  <si>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</si>
  <si>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</si>
  <si>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</si>
  <si>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</si>
  <si>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</si>
  <si>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</si>
  <si>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</si>
  <si>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</si>
  <si>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</si>
  <si>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</si>
  <si>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</si>
  <si>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</si>
  <si>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</si>
  <si>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</si>
  <si>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</si>
  <si>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</si>
  <si>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</si>
  <si>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</si>
  <si>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</si>
  <si>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</si>
  <si>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</si>
  <si>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</si>
  <si>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</si>
  <si>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</si>
  <si>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</si>
  <si>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</si>
  <si>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</si>
  <si>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</si>
  <si>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</si>
  <si>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</si>
  <si>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</si>
  <si>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</si>
  <si>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</si>
  <si>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</si>
  <si>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</si>
  <si>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</si>
  <si>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</si>
  <si>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</si>
  <si>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</si>
  <si>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</si>
  <si>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</si>
  <si>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</si>
  <si>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</si>
  <si>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</si>
  <si>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</si>
  <si>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</si>
  <si>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</si>
  <si>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</si>
  <si>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</si>
  <si>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</si>
  <si>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</si>
  <si>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</si>
  <si>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</si>
  <si>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</si>
  <si>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</si>
  <si>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</si>
  <si>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</si>
  <si>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</si>
  <si>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</si>
  <si>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</si>
  <si>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</si>
  <si>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</si>
  <si>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</si>
  <si>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</si>
  <si>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</si>
  <si>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</si>
  <si>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</si>
  <si>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</si>
  <si>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</si>
  <si>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</si>
  <si>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</si>
  <si>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</si>
  <si>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</si>
  <si>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</si>
  <si>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</si>
  <si>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</si>
  <si>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</si>
  <si>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</si>
  <si>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</si>
  <si>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</si>
  <si>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</si>
  <si>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</si>
  <si>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</si>
  <si>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</si>
  <si>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</si>
  <si>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</si>
  <si>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</si>
  <si>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</si>
  <si>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</si>
  <si>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</si>
  <si>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</si>
  <si>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</si>
  <si>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</si>
  <si>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</si>
  <si>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</si>
  <si>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</si>
  <si>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</si>
  <si>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</si>
  <si>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</si>
  <si>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</si>
  <si>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</si>
  <si>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</si>
  <si>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</si>
  <si>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</si>
  <si>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</si>
  <si>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</si>
  <si>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</si>
  <si>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</si>
  <si>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</si>
  <si>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</si>
  <si>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</si>
  <si>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</si>
  <si>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</si>
  <si>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</si>
  <si>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</si>
  <si>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</si>
  <si>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</si>
  <si>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</si>
  <si>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</si>
  <si>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</si>
  <si>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</si>
  <si>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</si>
  <si>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</si>
  <si>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</si>
  <si>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</si>
  <si>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</si>
  <si>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</si>
  <si>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</si>
  <si>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</si>
  <si>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</si>
  <si>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</si>
  <si>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</si>
  <si>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</si>
  <si>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</si>
  <si>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</si>
  <si>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</si>
  <si>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</si>
  <si>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</si>
  <si>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</si>
  <si>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</si>
  <si>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</si>
  <si>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</si>
  <si>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</si>
  <si>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</si>
  <si>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</si>
  <si>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</si>
  <si>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</si>
  <si>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</si>
  <si>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</si>
  <si>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</si>
  <si>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</si>
  <si>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</si>
  <si>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</si>
  <si>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</si>
  <si>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</si>
  <si>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</si>
  <si>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</si>
  <si>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</si>
  <si>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</si>
  <si>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</si>
  <si>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</si>
  <si>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</si>
  <si>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</si>
  <si>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</si>
  <si>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</si>
  <si>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</si>
  <si>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</si>
  <si>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</si>
  <si>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</si>
  <si>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</si>
  <si>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</si>
  <si>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</si>
  <si>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</si>
  <si>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</si>
  <si>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</si>
  <si>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</si>
  <si>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</si>
  <si>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</si>
  <si>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</si>
  <si>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</si>
  <si>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</si>
  <si>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</si>
  <si>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</si>
  <si>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</si>
  <si>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</si>
  <si>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</si>
  <si>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</si>
  <si>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</si>
  <si>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</si>
  <si>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</si>
  <si>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</si>
  <si>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</si>
  <si>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</si>
  <si>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</si>
  <si>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</si>
  <si>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</si>
  <si>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</si>
  <si>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</si>
  <si>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</si>
  <si>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</si>
  <si>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</si>
  <si>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</si>
  <si>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</si>
  <si>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</si>
  <si>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</si>
  <si>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</si>
  <si>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</si>
  <si>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</si>
  <si>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</si>
  <si>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</si>
  <si>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</si>
  <si>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</si>
  <si>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</si>
  <si>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</si>
  <si>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</si>
  <si>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</si>
  <si>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</si>
  <si>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</si>
  <si>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</si>
  <si>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</si>
  <si>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</si>
  <si>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</si>
  <si>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</si>
  <si>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</si>
  <si>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</si>
  <si>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</si>
  <si>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</si>
  <si>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</si>
  <si>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</si>
  <si>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</si>
  <si>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</si>
  <si>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</si>
  <si>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</si>
  <si>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</si>
  <si>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</si>
  <si>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</si>
  <si>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</si>
  <si>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</si>
  <si>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</si>
  <si>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</si>
  <si>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</si>
  <si>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</si>
  <si>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</si>
  <si>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</si>
  <si>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</si>
  <si>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</si>
  <si>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</si>
  <si>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</si>
  <si>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</si>
  <si>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</si>
  <si>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</si>
  <si>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</si>
  <si>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</si>
  <si>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</si>
  <si>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</si>
  <si>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</si>
  <si>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</si>
  <si>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</si>
  <si>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</si>
  <si>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</si>
  <si>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</si>
  <si>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</si>
  <si>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</si>
  <si>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</si>
  <si>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</si>
  <si>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</si>
  <si>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</si>
  <si>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</si>
  <si>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</si>
  <si>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</si>
  <si>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</si>
  <si>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</si>
  <si>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</si>
  <si>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</si>
  <si>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</si>
  <si>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</si>
  <si>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</si>
  <si>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</si>
  <si>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</si>
  <si>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</si>
  <si>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</si>
  <si>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</si>
  <si>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</si>
  <si>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</si>
  <si>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</si>
  <si>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</si>
  <si>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</si>
  <si>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</si>
  <si>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</si>
  <si>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</si>
  <si>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</si>
  <si>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</si>
  <si>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</si>
  <si>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</si>
  <si>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</si>
  <si>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</si>
  <si>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</si>
  <si>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</si>
  <si>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</si>
  <si>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</si>
  <si>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</si>
  <si>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</si>
  <si>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</si>
  <si>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</si>
  <si>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</si>
  <si>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</si>
  <si>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</si>
  <si>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</si>
  <si>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</si>
  <si>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</si>
  <si>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</si>
  <si>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</si>
  <si>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</si>
  <si>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</si>
  <si>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</si>
  <si>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</si>
  <si>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</si>
  <si>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</si>
  <si>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</si>
  <si>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</si>
  <si>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</si>
  <si>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</si>
  <si>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</si>
  <si>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</si>
  <si>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</si>
  <si>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</si>
  <si>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</si>
  <si>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</si>
  <si>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</si>
  <si>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</si>
  <si>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</si>
  <si>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</si>
  <si>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</si>
  <si>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</si>
  <si>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</si>
  <si>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</si>
  <si>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</si>
  <si>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</si>
  <si>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</si>
  <si>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</si>
  <si>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</si>
  <si>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</si>
  <si>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</si>
  <si>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</si>
  <si>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</si>
  <si>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</si>
  <si>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</si>
  <si>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</si>
  <si>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</si>
  <si>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</si>
  <si>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</si>
  <si>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</si>
  <si>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</si>
  <si>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</si>
  <si>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</si>
  <si>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</si>
  <si>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</si>
  <si>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</si>
  <si>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</si>
  <si>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</si>
  <si>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</si>
  <si>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</si>
  <si>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</si>
  <si>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</si>
  <si>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</si>
  <si>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</si>
  <si>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</si>
  <si>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</si>
  <si>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</si>
  <si>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</si>
  <si>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</si>
  <si>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</si>
  <si>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</si>
  <si>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</si>
  <si>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</si>
  <si>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</si>
  <si>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</si>
  <si>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</si>
  <si>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</si>
  <si>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</si>
  <si>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</si>
  <si>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</si>
  <si>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</si>
  <si>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</si>
  <si>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</si>
  <si>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</si>
  <si>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</si>
  <si>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</si>
  <si>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</si>
  <si>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</si>
  <si>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</si>
  <si>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</si>
  <si>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</si>
  <si>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</si>
  <si>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</si>
  <si>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</si>
  <si>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</si>
  <si>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</si>
  <si>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</si>
  <si>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</si>
  <si>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</si>
  <si>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</si>
  <si>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</si>
  <si>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</si>
  <si>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</si>
  <si>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</si>
  <si>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</si>
  <si>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</si>
  <si>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</si>
  <si>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</si>
  <si>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</si>
  <si>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</si>
  <si>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</si>
  <si>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</si>
  <si>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</si>
  <si>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</si>
  <si>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</si>
  <si>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</si>
  <si>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</si>
  <si>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</si>
  <si>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</si>
  <si>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</si>
  <si>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</si>
  <si>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</si>
  <si>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</si>
  <si>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</si>
  <si>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</si>
  <si>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</si>
  <si>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</si>
  <si>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</si>
  <si>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</si>
  <si>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</si>
  <si>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</si>
  <si>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</si>
  <si>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</si>
  <si>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</si>
  <si>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</si>
  <si>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</si>
  <si>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</si>
  <si>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</si>
  <si>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</si>
  <si>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</si>
  <si>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</si>
  <si>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</si>
  <si>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</si>
  <si>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</si>
  <si>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</si>
  <si>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</si>
  <si>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</si>
  <si>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</si>
  <si>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</si>
  <si>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</si>
  <si>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</si>
  <si>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</si>
  <si>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</si>
  <si>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</si>
  <si>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</si>
  <si>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</si>
  <si>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</si>
  <si>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</si>
  <si>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</si>
  <si>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</si>
  <si>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</si>
  <si>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</si>
  <si>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</si>
  <si>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</si>
  <si>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</si>
  <si>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</si>
  <si>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</si>
  <si>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</si>
  <si>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</si>
  <si>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</si>
  <si>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</si>
  <si>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</si>
  <si>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</si>
  <si>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</si>
  <si>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</si>
  <si>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</si>
  <si>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</si>
  <si>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</si>
  <si>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</si>
  <si>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</si>
  <si>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</si>
  <si>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</si>
  <si>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</si>
  <si>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</si>
  <si>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</si>
  <si>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</si>
  <si>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</si>
  <si>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</si>
  <si>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</si>
  <si>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</si>
  <si>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</si>
  <si>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</si>
  <si>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</si>
  <si>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</si>
  <si>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</si>
  <si>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</si>
  <si>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</si>
  <si>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</si>
  <si>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</si>
  <si>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</si>
  <si>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</si>
  <si>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</si>
  <si>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</si>
  <si>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</si>
  <si>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</si>
  <si>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</si>
  <si>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</si>
  <si>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</si>
  <si>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</si>
  <si>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</si>
  <si>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</si>
  <si>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</si>
  <si>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</si>
  <si>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</si>
  <si>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</si>
  <si>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</si>
  <si>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</si>
  <si>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</si>
  <si>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</si>
  <si>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</si>
  <si>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</si>
  <si>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</si>
  <si>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</si>
  <si>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</si>
  <si>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</si>
  <si>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</si>
  <si>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</si>
  <si>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</si>
  <si>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</si>
  <si>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</si>
  <si>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</si>
  <si>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</si>
  <si>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</si>
  <si>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</si>
  <si>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</si>
  <si>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</si>
  <si>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</si>
  <si>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</si>
  <si>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</si>
  <si>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</si>
  <si>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</si>
  <si>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</si>
  <si>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</si>
  <si>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</si>
  <si>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</si>
  <si>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</si>
  <si>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</si>
  <si>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</si>
  <si>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</si>
  <si>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</si>
  <si>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</si>
  <si>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</si>
  <si>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</si>
  <si>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</si>
  <si>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</si>
  <si>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</si>
  <si>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</si>
  <si>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</si>
  <si>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</si>
  <si>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</si>
  <si>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</si>
  <si>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</si>
  <si>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</si>
  <si>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</si>
  <si>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</si>
  <si>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</si>
  <si>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</si>
  <si>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</si>
  <si>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</si>
  <si>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</si>
  <si>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</si>
  <si>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</si>
  <si>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</si>
  <si>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</si>
  <si>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</si>
  <si>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</si>
  <si>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</si>
  <si>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</si>
  <si>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</si>
  <si>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</si>
  <si>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</si>
  <si>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</si>
  <si>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</si>
  <si>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</si>
  <si>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</si>
  <si>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</si>
  <si>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</si>
  <si>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</si>
  <si>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</si>
  <si>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</si>
  <si>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</si>
  <si>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</si>
  <si>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</si>
  <si>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</si>
  <si>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</si>
  <si>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</si>
  <si>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</si>
  <si>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</si>
  <si>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</si>
  <si>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</si>
  <si>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</si>
  <si>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</si>
  <si>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</si>
  <si>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</si>
  <si>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</si>
  <si>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</si>
  <si>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</si>
  <si>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</si>
  <si>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</si>
  <si>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</si>
  <si>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</si>
  <si>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</si>
  <si>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</si>
  <si>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</si>
  <si>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</si>
  <si>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</si>
  <si>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</si>
  <si>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</si>
  <si>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</si>
  <si>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</si>
  <si>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</si>
  <si>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</si>
  <si>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</si>
  <si>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</si>
  <si>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</si>
  <si>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</si>
  <si>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</si>
  <si>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</si>
  <si>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</si>
  <si>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</si>
  <si>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</si>
  <si>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</si>
  <si>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</si>
  <si>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</si>
  <si>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</si>
  <si>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</si>
  <si>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</si>
  <si>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</si>
  <si>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</si>
  <si>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</si>
  <si>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</si>
  <si>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</si>
  <si>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</si>
  <si>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</si>
  <si>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</si>
  <si>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</si>
  <si>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</si>
  <si>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</si>
  <si>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</si>
  <si>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</si>
  <si>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</si>
  <si>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</si>
  <si>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</si>
  <si>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</si>
  <si>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</si>
  <si>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</si>
  <si>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</si>
  <si>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</si>
  <si>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</si>
  <si>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</si>
  <si>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</si>
  <si>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</si>
  <si>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</si>
  <si>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</si>
  <si>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</si>
  <si>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</si>
  <si>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</si>
  <si>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</si>
  <si>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</si>
  <si>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</si>
  <si>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</si>
  <si>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</si>
  <si>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</si>
  <si>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</si>
  <si>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</si>
  <si>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</si>
  <si>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</si>
  <si>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</si>
  <si>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</si>
  <si>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</si>
  <si>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</si>
  <si>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</si>
  <si>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</si>
  <si>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</si>
  <si>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</si>
  <si>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</si>
  <si>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</si>
  <si>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</si>
  <si>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</si>
  <si>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</si>
  <si>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</si>
  <si>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</si>
  <si>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</si>
  <si>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</si>
  <si>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</si>
  <si>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</si>
  <si>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</si>
  <si>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</si>
  <si>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</si>
  <si>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</si>
  <si>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</si>
  <si>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</si>
  <si>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</si>
  <si>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</si>
  <si>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</si>
  <si>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</si>
  <si>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</si>
  <si>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</si>
  <si>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</si>
  <si>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</si>
  <si>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</si>
  <si>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</si>
  <si>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</si>
  <si>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</si>
  <si>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</si>
  <si>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</si>
  <si>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</si>
  <si>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</si>
  <si>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</si>
  <si>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</si>
  <si>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</si>
  <si>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</si>
  <si>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</si>
  <si>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</si>
  <si>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</si>
  <si>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</si>
  <si>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</si>
  <si>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</si>
  <si>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</si>
  <si>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</si>
  <si>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</si>
  <si>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</si>
  <si>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</si>
  <si>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</si>
  <si>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</si>
  <si>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</si>
  <si>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</si>
  <si>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</si>
  <si>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</si>
  <si>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</si>
  <si>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</si>
  <si>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</si>
  <si>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</si>
  <si>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</si>
  <si>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</si>
  <si>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</si>
  <si>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</si>
  <si>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</si>
  <si>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</si>
  <si>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</si>
  <si>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</si>
  <si>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</si>
  <si>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</si>
  <si>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</si>
  <si>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</si>
  <si>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</si>
  <si>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</si>
  <si>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</si>
  <si>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</si>
  <si>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</si>
  <si>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</si>
  <si>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</si>
  <si>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</si>
  <si>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</si>
  <si>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</si>
  <si>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</si>
  <si>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</si>
  <si>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</si>
  <si>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</si>
  <si>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</si>
  <si>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</si>
  <si>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</si>
  <si>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</si>
  <si>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</si>
  <si>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</si>
  <si>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</si>
  <si>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</si>
  <si>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</si>
  <si>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</si>
  <si>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</si>
  <si>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</si>
  <si>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</si>
  <si>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</si>
  <si>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</si>
  <si>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</si>
  <si>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</si>
  <si>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</si>
  <si>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</si>
  <si>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</si>
  <si>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</si>
  <si>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</si>
  <si>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</si>
  <si>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</si>
  <si>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</si>
  <si>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</si>
  <si>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</si>
  <si>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</si>
  <si>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</si>
  <si>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</si>
  <si>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</si>
  <si>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</si>
  <si>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</si>
  <si>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</si>
  <si>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</si>
  <si>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</si>
  <si>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</si>
  <si>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</si>
  <si>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</si>
  <si>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</si>
  <si>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</si>
  <si>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</si>
  <si>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</si>
  <si>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</si>
  <si>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</si>
  <si>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</si>
  <si>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</si>
  <si>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</si>
  <si>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</si>
  <si>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</si>
  <si>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</si>
  <si>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</si>
  <si>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</si>
  <si>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</si>
  <si>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</si>
  <si>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</si>
  <si>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</si>
  <si>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</si>
  <si>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</si>
  <si>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</si>
  <si>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</si>
  <si>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</si>
  <si>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</si>
  <si>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</si>
  <si>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</si>
  <si>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</si>
  <si>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</si>
  <si>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</si>
  <si>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</si>
  <si>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</si>
  <si>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</si>
  <si>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</si>
  <si>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</si>
  <si>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</si>
  <si>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</si>
  <si>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</si>
  <si>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</si>
  <si>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</si>
  <si>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</si>
  <si>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</si>
  <si>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</si>
  <si>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</si>
  <si>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</si>
  <si>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</si>
  <si>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</si>
  <si>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</si>
  <si>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</si>
  <si>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</si>
  <si>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</si>
  <si>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</si>
  <si>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</si>
  <si>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</si>
  <si>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</si>
  <si>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</si>
  <si>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</si>
  <si>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</si>
  <si>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</si>
  <si>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</si>
  <si>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</si>
  <si>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</si>
  <si>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</si>
  <si>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</si>
  <si>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</si>
  <si>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</si>
  <si>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</si>
  <si>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</si>
  <si>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</si>
  <si>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</si>
  <si>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</si>
  <si>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</si>
  <si>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</si>
  <si>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</si>
  <si>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</si>
  <si>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</si>
  <si>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</si>
  <si>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</si>
  <si>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</si>
  <si>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</si>
  <si>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</si>
  <si>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</si>
  <si>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</si>
  <si>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</si>
  <si>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</si>
  <si>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</si>
  <si>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</si>
  <si>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</si>
  <si>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</si>
  <si>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</si>
  <si>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</si>
  <si>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</si>
  <si>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</si>
  <si>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</si>
  <si>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</si>
  <si>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</si>
  <si>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</si>
  <si>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</si>
  <si>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</si>
  <si>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</si>
  <si>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</si>
  <si>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</si>
  <si>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</si>
  <si>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</si>
  <si>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</si>
  <si>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</si>
  <si>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</si>
  <si>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</si>
  <si>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</si>
  <si>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</si>
  <si>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</si>
  <si>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</si>
  <si>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</si>
  <si>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</si>
  <si>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</si>
  <si>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</si>
  <si>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</si>
  <si>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</si>
  <si>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</si>
  <si>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</si>
  <si>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</si>
  <si>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</si>
  <si>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</si>
  <si>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</si>
  <si>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</si>
  <si>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</si>
  <si>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</si>
  <si>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</si>
  <si>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</si>
  <si>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</si>
  <si>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</si>
  <si>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</si>
  <si>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</si>
  <si>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</si>
  <si>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</si>
  <si>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</si>
  <si>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</si>
  <si>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</si>
  <si>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</si>
  <si>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</si>
  <si>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</si>
  <si>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</si>
  <si>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</si>
  <si>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</si>
  <si>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</si>
  <si>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</si>
  <si>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</si>
  <si>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</si>
  <si>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</si>
  <si>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</si>
  <si>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</si>
  <si>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</si>
  <si>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</si>
  <si>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</si>
  <si>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</si>
  <si>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</si>
  <si>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</si>
  <si>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</si>
  <si>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</si>
  <si>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</si>
  <si>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</si>
  <si>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</si>
  <si>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</si>
  <si>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</si>
  <si>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</si>
  <si>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</si>
  <si>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</si>
  <si>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</si>
  <si>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</si>
  <si>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</si>
  <si>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</si>
  <si>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</si>
  <si>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</si>
  <si>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</si>
  <si>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</si>
  <si>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</si>
  <si>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</si>
  <si>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</si>
  <si>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</si>
  <si>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</si>
  <si>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</si>
  <si>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</si>
  <si>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</si>
  <si>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</si>
  <si>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</si>
  <si>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</si>
  <si>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</si>
  <si>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</si>
  <si>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</si>
  <si>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</si>
  <si>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</si>
  <si>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</si>
  <si>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</si>
  <si>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</si>
  <si>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</si>
  <si>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</si>
  <si>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</si>
  <si>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</si>
  <si>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</si>
  <si>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</si>
  <si>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</si>
  <si>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</si>
  <si>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</si>
  <si>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</si>
  <si>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</si>
  <si>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</si>
  <si>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</si>
  <si>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</si>
  <si>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</si>
  <si>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</si>
  <si>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</si>
  <si>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</si>
  <si>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</si>
  <si>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</si>
  <si>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</si>
  <si>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</si>
  <si>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</si>
  <si>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</si>
  <si>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</si>
  <si>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</si>
  <si>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</si>
  <si>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</si>
  <si>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</si>
  <si>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</si>
  <si>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</si>
  <si>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</si>
  <si>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</si>
  <si>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</si>
  <si>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</si>
  <si>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</si>
  <si>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</si>
  <si>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</si>
  <si>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</si>
  <si>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</si>
  <si>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</si>
  <si>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</si>
  <si>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</si>
  <si>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</si>
  <si>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</si>
  <si>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</si>
  <si>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</si>
  <si>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</si>
  <si>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</si>
  <si>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</si>
  <si>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</si>
  <si>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</si>
  <si>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</si>
  <si>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</si>
  <si>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</si>
  <si>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</si>
  <si>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</si>
  <si>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</si>
  <si>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</si>
  <si>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</si>
  <si>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</si>
  <si>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</si>
  <si>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</si>
  <si>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</si>
  <si>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</si>
  <si>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</si>
  <si>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</si>
  <si>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</si>
  <si>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</si>
  <si>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</si>
  <si>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</si>
  <si>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</si>
  <si>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</si>
  <si>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</si>
  <si>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</si>
  <si>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</si>
  <si>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</si>
  <si>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</si>
  <si>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</si>
  <si>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</si>
  <si>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</si>
  <si>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</si>
  <si>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</si>
  <si>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</si>
  <si>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</si>
  <si>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</si>
  <si>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</si>
  <si>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</si>
  <si>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</si>
  <si>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</si>
  <si>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</si>
  <si>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</si>
  <si>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</si>
  <si>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</si>
  <si>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</si>
  <si>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</si>
  <si>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</si>
  <si>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</si>
  <si>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</si>
  <si>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</si>
  <si>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</si>
  <si>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</si>
  <si>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</si>
  <si>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</si>
  <si>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</si>
  <si>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</si>
  <si>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</si>
  <si>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</si>
  <si>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</si>
  <si>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</si>
  <si>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</si>
  <si>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</si>
  <si>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</si>
  <si>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</si>
  <si>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</si>
  <si>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</si>
  <si>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</si>
  <si>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</si>
  <si>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</si>
  <si>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</si>
  <si>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</si>
  <si>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</si>
  <si>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</si>
  <si>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</si>
  <si>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</si>
  <si>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</si>
  <si>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</si>
  <si>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</si>
  <si>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</si>
  <si>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</si>
  <si>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</si>
  <si>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</si>
  <si>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</si>
  <si>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</si>
  <si>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</si>
  <si>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</si>
  <si>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</si>
  <si>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</si>
  <si>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</si>
  <si>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</si>
  <si>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</si>
  <si>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</si>
  <si>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</si>
  <si>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</si>
  <si>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</si>
  <si>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</si>
  <si>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</si>
  <si>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</si>
  <si>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</si>
  <si>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</si>
  <si>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</si>
  <si>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</si>
  <si>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</si>
  <si>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</si>
  <si>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</si>
  <si>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</si>
  <si>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</si>
  <si>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</si>
  <si>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</si>
  <si>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</si>
  <si>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</si>
  <si>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</si>
  <si>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</si>
  <si>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</si>
  <si>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</si>
  <si>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</si>
  <si>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</si>
  <si>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</si>
  <si>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</si>
  <si>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</si>
  <si>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</si>
  <si>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</si>
  <si>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</si>
  <si>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</si>
  <si>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</si>
  <si>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</si>
  <si>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</si>
  <si>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</si>
  <si>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</si>
  <si>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</si>
  <si>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</si>
  <si>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</si>
  <si>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</si>
  <si>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</si>
  <si>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</si>
  <si>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</si>
  <si>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</si>
  <si>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</si>
  <si>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</si>
  <si>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</si>
  <si>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</si>
  <si>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</si>
  <si>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</si>
  <si>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</si>
  <si>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</si>
  <si>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</si>
  <si>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</si>
  <si>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</si>
  <si>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</si>
  <si>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</si>
  <si>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</si>
  <si>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</si>
  <si>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</si>
  <si>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</si>
  <si>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</si>
  <si>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</si>
  <si>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</si>
  <si>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</si>
  <si>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</si>
  <si>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</si>
  <si>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</si>
  <si>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</si>
  <si>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</si>
  <si>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</si>
  <si>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</si>
  <si>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</si>
  <si>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</si>
  <si>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</si>
  <si>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</si>
  <si>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</si>
  <si>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</si>
  <si>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</si>
  <si>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</si>
  <si>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</si>
  <si>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</si>
  <si>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</si>
  <si>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</si>
  <si>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</si>
  <si>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</si>
  <si>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</si>
  <si>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</si>
  <si>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</si>
  <si>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</si>
  <si>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</si>
  <si>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</si>
  <si>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</si>
  <si>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</si>
  <si>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</si>
  <si>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</si>
  <si>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</si>
  <si>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</si>
  <si>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</si>
  <si>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</si>
  <si>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</si>
  <si>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</si>
  <si>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</si>
  <si>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</si>
  <si>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</si>
  <si>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</si>
  <si>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</si>
  <si>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</si>
  <si>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</si>
  <si>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</si>
  <si>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</si>
  <si>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</si>
  <si>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</si>
  <si>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</si>
  <si>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</si>
  <si>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</si>
  <si>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</si>
  <si>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</si>
  <si>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</si>
  <si>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</si>
  <si>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</si>
  <si>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</si>
  <si>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</si>
  <si>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</si>
  <si>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</si>
  <si>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</si>
  <si>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</si>
  <si>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</si>
  <si>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</si>
  <si>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</si>
  <si>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</si>
  <si>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</si>
  <si>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</si>
  <si>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</si>
  <si>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</si>
  <si>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</si>
  <si>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</si>
  <si>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</si>
  <si>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</si>
  <si>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</si>
  <si>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</si>
  <si>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</si>
  <si>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</si>
  <si>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</si>
  <si>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</si>
  <si>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</si>
  <si>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</si>
  <si>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</si>
  <si>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</si>
  <si>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</si>
  <si>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</si>
  <si>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</si>
  <si>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</si>
  <si>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</si>
  <si>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</si>
  <si>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</si>
  <si>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</si>
  <si>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</si>
  <si>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</si>
  <si>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</si>
  <si>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</si>
  <si>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</si>
  <si>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</si>
  <si>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</si>
  <si>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</si>
  <si>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</si>
  <si>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</si>
  <si>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</si>
  <si>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</si>
  <si>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</si>
  <si>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</si>
  <si>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</si>
  <si>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</si>
  <si>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</si>
  <si>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</si>
  <si>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</si>
  <si>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</si>
  <si>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</si>
  <si>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</si>
  <si>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</si>
  <si>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</si>
  <si>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</si>
  <si>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</si>
  <si>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</si>
  <si>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</si>
  <si>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</si>
  <si>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</si>
  <si>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</si>
  <si>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</si>
  <si>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</si>
  <si>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</si>
  <si>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</si>
  <si>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</si>
  <si>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</si>
  <si>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</si>
  <si>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</si>
  <si>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</si>
  <si>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</si>
  <si>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</si>
  <si>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</si>
  <si>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</si>
  <si>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</si>
  <si>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</si>
  <si>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</si>
  <si>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</si>
  <si>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</si>
  <si>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</si>
  <si>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</si>
  <si>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</si>
  <si>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</si>
  <si>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</si>
  <si>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</si>
  <si>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</si>
  <si>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</si>
  <si>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</si>
  <si>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</si>
  <si>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</si>
  <si>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</si>
  <si>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</si>
  <si>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</si>
  <si>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</si>
  <si>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</si>
  <si>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</si>
  <si>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</si>
  <si>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</si>
  <si>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</si>
  <si>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</si>
  <si>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</si>
  <si>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</si>
  <si>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</si>
  <si>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</si>
  <si>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</si>
  <si>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</si>
  <si>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</si>
  <si>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</si>
  <si>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</si>
  <si>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</si>
  <si>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</si>
  <si>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</si>
  <si>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</si>
  <si>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</si>
  <si>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</si>
  <si>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</si>
  <si>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</si>
  <si>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</si>
  <si>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</si>
  <si>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</si>
  <si>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</si>
  <si>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</si>
  <si>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</si>
  <si>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</si>
  <si>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</si>
  <si>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</si>
  <si>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</si>
  <si>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</si>
  <si>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</si>
  <si>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</si>
  <si>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</si>
  <si>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</si>
  <si>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</si>
  <si>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</si>
  <si>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</si>
  <si>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</si>
  <si>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</si>
  <si>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</si>
  <si>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</si>
  <si>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</si>
  <si>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</si>
  <si>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</si>
  <si>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</si>
  <si>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</si>
  <si>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</si>
  <si>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</si>
  <si>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</si>
  <si>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</si>
  <si>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</si>
  <si>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</si>
  <si>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</si>
  <si>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</si>
  <si>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</si>
  <si>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</si>
  <si>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</si>
  <si>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</si>
  <si>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</si>
  <si>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</si>
  <si>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</si>
  <si>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</si>
  <si>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</si>
  <si>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</si>
  <si>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</si>
  <si>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</si>
  <si>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</si>
  <si>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</si>
  <si>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</si>
  <si>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</si>
  <si>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</si>
  <si>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</si>
  <si>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</si>
  <si>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</si>
  <si>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</si>
  <si>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</si>
  <si>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</si>
  <si>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</si>
  <si>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</si>
  <si>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</si>
  <si>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</si>
  <si>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</si>
  <si>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</si>
  <si>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</si>
  <si>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</si>
  <si>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</si>
  <si>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</si>
  <si>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</si>
  <si>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</si>
  <si>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</si>
  <si>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</si>
  <si>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</si>
  <si>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</si>
  <si>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</si>
  <si>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</si>
  <si>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</si>
  <si>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</si>
  <si>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</si>
  <si>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</si>
  <si>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</si>
  <si>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</si>
  <si>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</si>
  <si>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</si>
  <si>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</si>
  <si>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</si>
  <si>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</si>
  <si>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</si>
  <si>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</si>
  <si>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</si>
  <si>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</si>
  <si>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</si>
  <si>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</si>
  <si>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</si>
  <si>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</si>
  <si>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</si>
  <si>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</si>
  <si>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</si>
  <si>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</si>
  <si>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</si>
  <si>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</si>
  <si>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</si>
  <si>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</si>
  <si>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</si>
  <si>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</si>
  <si>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</si>
  <si>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</si>
  <si>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</si>
  <si>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</si>
  <si>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</si>
  <si>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</si>
  <si>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</si>
  <si>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</si>
  <si>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</si>
  <si>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</si>
  <si>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</si>
  <si>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</si>
  <si>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</si>
  <si>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</si>
  <si>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</si>
  <si>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</si>
  <si>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</si>
  <si>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</si>
  <si>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</si>
  <si>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</si>
  <si>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</si>
  <si>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</si>
  <si>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</si>
  <si>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</si>
  <si>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</si>
  <si>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</si>
  <si>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</si>
  <si>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</si>
  <si>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</si>
  <si>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</si>
  <si>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</si>
  <si>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</si>
  <si>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</si>
  <si>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</si>
  <si>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</si>
  <si>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</si>
  <si>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</si>
  <si>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</si>
  <si>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</si>
  <si>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</si>
  <si>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</si>
  <si>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</si>
  <si>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</si>
  <si>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</si>
  <si>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</si>
  <si>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</si>
  <si>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</si>
  <si>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</si>
  <si>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</si>
  <si>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</si>
  <si>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</si>
  <si>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</si>
  <si>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</si>
  <si>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</si>
  <si>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</si>
  <si>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</si>
  <si>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</si>
  <si>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</si>
  <si>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</si>
  <si>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</si>
  <si>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</si>
  <si>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</si>
  <si>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</si>
  <si>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</si>
  <si>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</si>
  <si>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</si>
  <si>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</si>
  <si>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</si>
  <si>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</si>
  <si>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</si>
  <si>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</si>
  <si>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</si>
  <si>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</si>
  <si>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</si>
  <si>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</si>
  <si>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</si>
  <si>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</si>
  <si>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</si>
  <si>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</si>
  <si>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</si>
  <si>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</si>
  <si>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</si>
  <si>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</si>
  <si>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</si>
  <si>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</si>
  <si>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</si>
  <si>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</si>
  <si>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</si>
  <si>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</si>
  <si>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</si>
  <si>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</si>
  <si>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</si>
  <si>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</si>
  <si>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</si>
  <si>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</si>
  <si>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</si>
  <si>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</si>
  <si>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</si>
  <si>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</si>
  <si>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</si>
  <si>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</si>
  <si>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</si>
  <si>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</si>
  <si>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</si>
  <si>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</si>
  <si>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</si>
  <si>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</si>
  <si>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</si>
  <si>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</si>
  <si>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</si>
  <si>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</si>
  <si>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</si>
  <si>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</si>
  <si>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</si>
  <si>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</si>
  <si>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</si>
  <si>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</si>
  <si>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</si>
  <si>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</si>
  <si>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</si>
  <si>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</si>
  <si>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</si>
  <si>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</si>
  <si>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</si>
  <si>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</si>
  <si>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</si>
  <si>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</si>
  <si>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</si>
  <si>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</si>
  <si>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</si>
  <si>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</si>
  <si>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</si>
  <si>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</si>
  <si>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</si>
  <si>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</si>
  <si>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</si>
  <si>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</si>
  <si>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</si>
  <si>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</si>
  <si>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</si>
  <si>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</si>
  <si>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</si>
  <si>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</si>
  <si>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</si>
  <si>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</si>
  <si>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</si>
  <si>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</si>
  <si>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</si>
  <si>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</si>
  <si>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</si>
  <si>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</si>
  <si>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</si>
  <si>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</si>
  <si>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</si>
  <si>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</si>
  <si>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</si>
  <si>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</si>
  <si>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</si>
  <si>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</si>
  <si>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</si>
  <si>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</si>
  <si>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</si>
  <si>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</si>
  <si>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</si>
  <si>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</si>
  <si>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</si>
  <si>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</si>
  <si>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</si>
  <si>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</si>
  <si>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</si>
  <si>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</si>
  <si>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</si>
  <si>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</si>
  <si>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</si>
  <si>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</si>
  <si>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</si>
  <si>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</si>
  <si>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</si>
  <si>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</si>
  <si>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</si>
  <si>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</si>
  <si>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</si>
  <si>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</si>
  <si>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</si>
  <si>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</si>
  <si>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</si>
  <si>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</si>
  <si>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</si>
  <si>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</si>
  <si>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</si>
  <si>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</si>
  <si>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</si>
  <si>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</si>
  <si>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</si>
  <si>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</si>
  <si>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</si>
  <si>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</si>
  <si>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</si>
  <si>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</si>
  <si>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</si>
  <si>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</si>
  <si>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</si>
  <si>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</si>
  <si>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</si>
  <si>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</si>
  <si>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</si>
  <si>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</si>
  <si>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</si>
  <si>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</si>
  <si>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</si>
  <si>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</si>
  <si>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</si>
  <si>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</si>
  <si>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</si>
  <si>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</si>
  <si>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</si>
  <si>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</si>
  <si>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</si>
  <si>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</si>
  <si>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</si>
  <si>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</si>
  <si>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</si>
  <si>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</si>
  <si>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</si>
  <si>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</si>
  <si>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</si>
  <si>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</si>
  <si>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</si>
  <si>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</si>
  <si>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</si>
  <si>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</si>
  <si>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</si>
  <si>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</si>
  <si>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</si>
  <si>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</si>
  <si>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</si>
  <si>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</si>
  <si>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</si>
  <si>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</si>
  <si>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</si>
  <si>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</si>
  <si>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</si>
  <si>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</si>
  <si>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</si>
  <si>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</si>
  <si>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</si>
  <si>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</si>
  <si>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</si>
  <si>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</si>
  <si>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</si>
  <si>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</si>
  <si>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</si>
  <si>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</si>
  <si>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</si>
  <si>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</si>
  <si>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</si>
  <si>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</si>
  <si>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</si>
  <si>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</si>
  <si>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</si>
  <si>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</si>
  <si>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</si>
  <si>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</si>
  <si>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</si>
  <si>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</si>
  <si>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</si>
  <si>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</si>
  <si>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</si>
  <si>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</si>
  <si>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</si>
  <si>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</si>
  <si>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</si>
  <si>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</si>
  <si>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</si>
  <si>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</si>
  <si>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</si>
  <si>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</si>
  <si>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</si>
  <si>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</si>
  <si>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</si>
  <si>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</si>
  <si>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</si>
  <si>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</si>
  <si>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</si>
  <si>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</si>
  <si>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</si>
  <si>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</si>
  <si>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</si>
  <si>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</si>
  <si>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</si>
  <si>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</si>
  <si>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</si>
  <si>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</si>
  <si>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</si>
  <si>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</si>
  <si>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</si>
  <si>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</si>
  <si>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</si>
  <si>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</si>
  <si>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</si>
  <si>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</si>
  <si>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</si>
  <si>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</si>
  <si>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</si>
  <si>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</si>
  <si>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</si>
  <si>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06.01.2025</t>
  </si>
  <si>
    <t>25.02</t>
  </si>
  <si>
    <t>objednavkySK@demos-trade.com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</si>
</sst>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8" formatCode="#,##0.0"/>
    <numFmt numFmtId="169" formatCode="0.0"/>
    <numFmt numFmtId="170" formatCode="_-* #,##0.00\ [$HUF]_-;\-* #,##0.00\ [$HUF]_-;_-* &quot;-&quot;??\ [$HUF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9" fontId="38" fillId="0" borderId="46" xfId="0" applyNumberFormat="1" applyFont="1" applyBorder="1" applyAlignment="1" applyProtection="1">
      <alignment horizontal="center"/>
      <protection hidden="1"/>
    </xf>
    <xf numFmtId="169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9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9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9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8" fontId="38" fillId="0" borderId="57" xfId="1" applyNumberFormat="1" applyFont="1" applyFill="1" applyBorder="1" applyAlignment="1" applyProtection="1">
      <protection hidden="1"/>
    </xf>
    <xf numFmtId="168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9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9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9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  <xf numFmtId="170" fontId="52" fillId="16" borderId="43" xfId="13" applyNumberFormat="1" applyFont="1" applyFill="1" applyBorder="1" applyAlignment="1" applyProtection="1">
      <alignment horizontal="right" vertical="center"/>
      <protection hidden="1"/>
    </xf>
    <xf numFmtId="170" fontId="52" fillId="16" borderId="51" xfId="13" applyNumberFormat="1" applyFont="1" applyFill="1" applyBorder="1" applyAlignment="1" applyProtection="1">
      <alignment horizontal="right" vertical="center"/>
      <protection hidden="1"/>
    </xf>
    <xf numFmtId="170" fontId="52" fillId="16" borderId="52" xfId="13" applyNumberFormat="1" applyFont="1" applyFill="1" applyBorder="1" applyAlignment="1" applyProtection="1">
      <alignment horizontal="right" vertical="center"/>
      <protection hidden="1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1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bjednavkySK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394"/>
      <c r="E1" s="394"/>
      <c r="F1" s="394"/>
      <c r="G1" s="394"/>
      <c r="H1" s="394"/>
      <c r="I1" s="394"/>
      <c r="J1" s="394"/>
      <c r="K1" s="394"/>
    </row>
    <row r="2" spans="1:11" ht="12" customHeight="1" x14ac:dyDescent="0.2">
      <c r="D2" s="394"/>
      <c r="E2" s="394"/>
      <c r="F2" s="394"/>
      <c r="G2" s="394"/>
      <c r="H2" s="394"/>
      <c r="I2" s="394"/>
      <c r="J2" s="394"/>
      <c r="K2" s="394"/>
    </row>
    <row r="3" spans="1:11" x14ac:dyDescent="0.2">
      <c r="D3" s="394"/>
      <c r="E3" s="394"/>
      <c r="F3" s="394"/>
      <c r="G3" s="394"/>
      <c r="H3" s="394"/>
      <c r="I3" s="394"/>
      <c r="J3" s="394"/>
      <c r="K3" s="394"/>
    </row>
    <row r="4" spans="1:11" x14ac:dyDescent="0.2">
      <c r="D4" s="394"/>
      <c r="E4" s="394"/>
      <c r="F4" s="394"/>
      <c r="G4" s="394"/>
      <c r="H4" s="394"/>
      <c r="I4" s="394"/>
      <c r="J4" s="394"/>
      <c r="K4" s="394"/>
    </row>
    <row r="5" spans="1:11" x14ac:dyDescent="0.2">
      <c r="D5" s="394"/>
      <c r="E5" s="394"/>
      <c r="F5" s="394"/>
      <c r="G5" s="394"/>
      <c r="H5" s="394"/>
      <c r="I5" s="394"/>
      <c r="J5" s="394"/>
      <c r="K5" s="394"/>
    </row>
    <row r="6" spans="1:11" x14ac:dyDescent="0.2">
      <c r="D6" s="394"/>
      <c r="E6" s="394"/>
      <c r="F6" s="394"/>
      <c r="G6" s="394"/>
      <c r="H6" s="394"/>
      <c r="I6" s="394"/>
      <c r="J6" s="394"/>
      <c r="K6" s="394"/>
    </row>
    <row r="7" spans="1:11" ht="20.100000000000001" customHeight="1" x14ac:dyDescent="0.25">
      <c r="A7" s="1" t="s">
        <v>70</v>
      </c>
      <c r="B7" s="422" t="s">
        <v>435</v>
      </c>
      <c r="C7" s="379"/>
      <c r="D7" s="379"/>
      <c r="H7" s="379"/>
    </row>
    <row r="8" spans="1:11" ht="3" customHeight="1" x14ac:dyDescent="0.25">
      <c r="B8" s="2"/>
      <c r="D8" s="379"/>
      <c r="H8" s="379"/>
    </row>
    <row r="9" spans="1:11" ht="20.100000000000001" customHeight="1" x14ac:dyDescent="0.25">
      <c r="A9" s="1" t="s">
        <v>67</v>
      </c>
      <c r="B9" s="425">
        <f>'Objednávka žaluzií'!N9</f>
        <v>36</v>
      </c>
      <c r="C9" s="426"/>
      <c r="D9" s="379"/>
      <c r="H9" s="379"/>
    </row>
    <row r="10" spans="1:11" ht="3" customHeight="1" x14ac:dyDescent="0.25">
      <c r="A10" s="1"/>
    </row>
    <row r="11" spans="1:11" ht="18" x14ac:dyDescent="0.25">
      <c r="A11" s="1" t="s">
        <v>68</v>
      </c>
      <c r="B11" s="425">
        <f>'Objednávka žaluzií'!N11</f>
        <v>36</v>
      </c>
      <c r="C11" s="426"/>
    </row>
    <row r="12" spans="1:11" ht="3" customHeight="1" x14ac:dyDescent="0.25">
      <c r="A12" s="1"/>
    </row>
    <row r="13" spans="1:11" ht="18" x14ac:dyDescent="0.25">
      <c r="A13" s="1" t="s">
        <v>69</v>
      </c>
      <c r="B13" s="425">
        <f>'Objednávka žaluzií'!T13</f>
        <v>0</v>
      </c>
      <c r="C13" s="426"/>
    </row>
    <row r="14" spans="1:11" ht="3" customHeight="1" x14ac:dyDescent="0.2"/>
    <row r="15" spans="1:11" ht="18" x14ac:dyDescent="0.25">
      <c r="A15" s="1" t="s">
        <v>71</v>
      </c>
      <c r="B15" s="423"/>
      <c r="C15" s="379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Függőleges (fentről le)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402" t="s">
        <v>87</v>
      </c>
      <c r="B21" s="403"/>
      <c r="C21" s="404"/>
      <c r="D21" s="386" t="s">
        <v>88</v>
      </c>
      <c r="E21" s="387"/>
      <c r="F21" s="386" t="s">
        <v>89</v>
      </c>
      <c r="G21" s="387"/>
      <c r="H21" s="396" t="s">
        <v>4</v>
      </c>
      <c r="I21" s="397"/>
      <c r="J21" s="395" t="s">
        <v>3</v>
      </c>
      <c r="K21" s="384"/>
    </row>
    <row r="22" spans="1:11" ht="12.75" customHeight="1" thickBot="1" x14ac:dyDescent="0.25">
      <c r="A22" s="405"/>
      <c r="B22" s="406"/>
      <c r="C22" s="407"/>
      <c r="D22" s="388"/>
      <c r="E22" s="389"/>
      <c r="F22" s="388"/>
      <c r="G22" s="389"/>
      <c r="H22" s="398"/>
      <c r="I22" s="399"/>
      <c r="J22" s="395"/>
      <c r="K22" s="384"/>
    </row>
    <row r="23" spans="1:11" ht="13.5" thickBot="1" x14ac:dyDescent="0.25">
      <c r="A23" s="400" t="s">
        <v>7</v>
      </c>
      <c r="B23" s="401"/>
      <c r="C23" s="401"/>
      <c r="D23" s="383">
        <f>IF(výpočty!$U$14=1,Kalkulace!D10,Kalkulace!D56)</f>
        <v>0</v>
      </c>
      <c r="E23" s="393"/>
      <c r="F23" s="383">
        <f>IF(výpočty!$U$14=1,Kalkulace!E10,Kalkulace!E56)</f>
        <v>0</v>
      </c>
      <c r="G23" s="393"/>
      <c r="H23" s="383">
        <f>IF(výpočty!$U$14=1,Kalkulace!F10,Kalkulace!F56)</f>
        <v>0</v>
      </c>
      <c r="I23" s="393"/>
      <c r="J23" s="383">
        <f>IF(výpočty!$U$14=1,Kalkulace!G10,Kalkulace!G56)</f>
        <v>0</v>
      </c>
      <c r="K23" s="384"/>
    </row>
    <row r="24" spans="1:11" ht="13.5" thickBot="1" x14ac:dyDescent="0.25">
      <c r="A24" s="400" t="s">
        <v>8</v>
      </c>
      <c r="B24" s="401"/>
      <c r="C24" s="401"/>
      <c r="D24" s="383">
        <f>IF(výpočty!$U$14=1,Kalkulace!D11,Kalkulace!D57)</f>
        <v>502.25858099999999</v>
      </c>
      <c r="E24" s="393"/>
      <c r="F24" s="383">
        <f>IF(výpočty!$U$14=1,Kalkulace!E11,Kalkulace!E57)</f>
        <v>502.25858099999999</v>
      </c>
      <c r="G24" s="393"/>
      <c r="H24" s="383" t="e">
        <f>IF(výpočty!$U$14=1,Kalkulace!F11,Kalkulace!F57)</f>
        <v>#N/A</v>
      </c>
      <c r="I24" s="393"/>
      <c r="J24" s="383">
        <f>IF(výpočty!$U$14=1,Kalkulace!G11,Kalkulace!G57)</f>
        <v>502.25858099999999</v>
      </c>
      <c r="K24" s="384"/>
    </row>
    <row r="25" spans="1:11" ht="13.5" thickBot="1" x14ac:dyDescent="0.25">
      <c r="A25" s="400" t="s">
        <v>81</v>
      </c>
      <c r="B25" s="401"/>
      <c r="C25" s="401"/>
      <c r="D25" s="383">
        <f>IF(výpočty!$U$14=1,Kalkulace!D12,Kalkulace!D58)</f>
        <v>2144.437731</v>
      </c>
      <c r="E25" s="393"/>
      <c r="F25" s="383">
        <f>IF(výpočty!$U$14=1,Kalkulace!E12,Kalkulace!E58)</f>
        <v>2144.437731</v>
      </c>
      <c r="G25" s="393"/>
      <c r="H25" s="383" t="e">
        <f>IF(výpočty!$U$14=1,Kalkulace!F12,Kalkulace!F58)</f>
        <v>#N/A</v>
      </c>
      <c r="I25" s="393"/>
      <c r="J25" s="383">
        <f>IF(výpočty!$U$14=1,Kalkulace!G12,Kalkulace!G58)</f>
        <v>2144.437731</v>
      </c>
      <c r="K25" s="384"/>
    </row>
    <row r="26" spans="1:11" ht="13.5" thickBot="1" x14ac:dyDescent="0.25">
      <c r="A26" s="411" t="s">
        <v>82</v>
      </c>
      <c r="B26" s="411"/>
      <c r="C26" s="412"/>
      <c r="D26" s="383">
        <f>IF(výpočty!$U$14=1,Kalkulace!D13,Kalkulace!D59)</f>
        <v>6061.9186300000001</v>
      </c>
      <c r="E26" s="393"/>
      <c r="F26" s="383">
        <f>IF(výpočty!$U$14=1,Kalkulace!E13,Kalkulace!E59)</f>
        <v>3676.8046850000001</v>
      </c>
      <c r="G26" s="393"/>
      <c r="H26" s="383" t="e">
        <f>IF(výpočty!$U$14=1,Kalkulace!F13,Kalkulace!F59)</f>
        <v>#N/A</v>
      </c>
      <c r="I26" s="393"/>
      <c r="J26" s="383">
        <f>IF(výpočty!$U$14=1,Kalkulace!G13,Kalkulace!G59)</f>
        <v>13931.678485</v>
      </c>
      <c r="K26" s="384"/>
    </row>
    <row r="27" spans="1:11" s="1" customFormat="1" ht="18.75" thickBot="1" x14ac:dyDescent="0.3">
      <c r="A27" s="408" t="s">
        <v>5</v>
      </c>
      <c r="B27" s="409"/>
      <c r="C27" s="410"/>
      <c r="D27" s="381">
        <f>SUM(D23:E26)</f>
        <v>8708.6149420000002</v>
      </c>
      <c r="E27" s="382"/>
      <c r="F27" s="381">
        <f>SUM(F23:G26)</f>
        <v>6323.5009970000001</v>
      </c>
      <c r="G27" s="382"/>
      <c r="H27" s="381" t="e">
        <f>SUM(H23:I26)</f>
        <v>#N/A</v>
      </c>
      <c r="I27" s="382"/>
      <c r="J27" s="381">
        <f>SUM(J23:K26)</f>
        <v>16578.374797</v>
      </c>
      <c r="K27" s="382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402" t="s">
        <v>87</v>
      </c>
      <c r="B31" s="403"/>
      <c r="C31" s="404"/>
      <c r="D31" s="386" t="s">
        <v>88</v>
      </c>
      <c r="E31" s="387"/>
      <c r="F31" s="386" t="s">
        <v>89</v>
      </c>
      <c r="G31" s="387"/>
      <c r="H31" s="396" t="s">
        <v>4</v>
      </c>
      <c r="I31" s="397"/>
      <c r="J31" s="395" t="s">
        <v>3</v>
      </c>
      <c r="K31" s="384"/>
    </row>
    <row r="32" spans="1:11" ht="12.75" customHeight="1" thickBot="1" x14ac:dyDescent="0.25">
      <c r="A32" s="405"/>
      <c r="B32" s="406"/>
      <c r="C32" s="407"/>
      <c r="D32" s="388"/>
      <c r="E32" s="389"/>
      <c r="F32" s="388"/>
      <c r="G32" s="389"/>
      <c r="H32" s="398"/>
      <c r="I32" s="399"/>
      <c r="J32" s="395"/>
      <c r="K32" s="384"/>
    </row>
    <row r="33" spans="1:11" ht="13.5" thickBot="1" x14ac:dyDescent="0.25">
      <c r="A33" s="400" t="s">
        <v>7</v>
      </c>
      <c r="B33" s="401"/>
      <c r="C33" s="401"/>
      <c r="D33" s="383">
        <f>IF(výpočty!$U$14=1,Kalkulace!D20,Kalkulace!D66)</f>
        <v>0</v>
      </c>
      <c r="E33" s="393"/>
      <c r="F33" s="383">
        <f>IF(výpočty!$U$14=1,Kalkulace!E20,Kalkulace!E66)</f>
        <v>0</v>
      </c>
      <c r="G33" s="393"/>
      <c r="H33" s="383">
        <f>IF(výpočty!$U$14=1,Kalkulace!F20,Kalkulace!F66)</f>
        <v>0</v>
      </c>
      <c r="I33" s="393"/>
      <c r="J33" s="383">
        <f>IF(výpočty!$U$14=1,Kalkulace!G20,Kalkulace!G66)</f>
        <v>0</v>
      </c>
      <c r="K33" s="384"/>
    </row>
    <row r="34" spans="1:11" ht="13.5" thickBot="1" x14ac:dyDescent="0.25">
      <c r="A34" s="400" t="s">
        <v>8</v>
      </c>
      <c r="B34" s="401"/>
      <c r="C34" s="401"/>
      <c r="D34" s="383">
        <f>IF(výpočty!$U$14=1,Kalkulace!D21,Kalkulace!D67)</f>
        <v>370.87544000000003</v>
      </c>
      <c r="E34" s="393"/>
      <c r="F34" s="383">
        <f>IF(výpočty!$U$14=1,Kalkulace!E21,Kalkulace!E67)</f>
        <v>370.87544000000003</v>
      </c>
      <c r="G34" s="393"/>
      <c r="H34" s="383">
        <f>IF(výpočty!$U$14=1,Kalkulace!F21,Kalkulace!F67)</f>
        <v>1015.3791639999999</v>
      </c>
      <c r="I34" s="393"/>
      <c r="J34" s="383">
        <f>IF(výpočty!$U$14=1,Kalkulace!G21,Kalkulace!G67)</f>
        <v>370.87544000000003</v>
      </c>
      <c r="K34" s="384"/>
    </row>
    <row r="35" spans="1:11" ht="13.5" thickBot="1" x14ac:dyDescent="0.25">
      <c r="A35" s="400" t="s">
        <v>81</v>
      </c>
      <c r="B35" s="401"/>
      <c r="C35" s="401"/>
      <c r="D35" s="383">
        <f>IF(výpočty!$U$14=1,Kalkulace!D22,Kalkulace!D68)</f>
        <v>2051.6851099999999</v>
      </c>
      <c r="E35" s="393"/>
      <c r="F35" s="383">
        <f>IF(výpočty!$U$14=1,Kalkulace!E22,Kalkulace!E68)</f>
        <v>2051.6851099999999</v>
      </c>
      <c r="G35" s="393"/>
      <c r="H35" s="383" t="e">
        <f>IF(výpočty!$U$14=1,Kalkulace!F22,Kalkulace!F68)</f>
        <v>#N/A</v>
      </c>
      <c r="I35" s="393"/>
      <c r="J35" s="383">
        <f>IF(výpočty!$U$14=1,Kalkulace!G22,Kalkulace!G68)</f>
        <v>2051.6851099999999</v>
      </c>
      <c r="K35" s="384"/>
    </row>
    <row r="36" spans="1:11" ht="13.5" thickBot="1" x14ac:dyDescent="0.25">
      <c r="A36" s="411" t="s">
        <v>82</v>
      </c>
      <c r="B36" s="411"/>
      <c r="C36" s="412"/>
      <c r="D36" s="383">
        <f>IF(výpočty!$U$14=1,Kalkulace!D23,Kalkulace!D69)</f>
        <v>6061.9186300000001</v>
      </c>
      <c r="E36" s="393"/>
      <c r="F36" s="383">
        <f>IF(výpočty!$U$14=1,Kalkulace!E23,Kalkulace!E69)</f>
        <v>3676.8046850000001</v>
      </c>
      <c r="G36" s="393"/>
      <c r="H36" s="383">
        <f>IF(výpočty!$U$14=1,Kalkulace!F23,Kalkulace!F69)</f>
        <v>17877.292784999998</v>
      </c>
      <c r="I36" s="393"/>
      <c r="J36" s="383">
        <f>IF(výpočty!$U$14=1,Kalkulace!G23,Kalkulace!G69)</f>
        <v>12767.986610000002</v>
      </c>
      <c r="K36" s="384"/>
    </row>
    <row r="37" spans="1:11" s="1" customFormat="1" ht="18.75" thickBot="1" x14ac:dyDescent="0.3">
      <c r="A37" s="408" t="s">
        <v>5</v>
      </c>
      <c r="B37" s="409"/>
      <c r="C37" s="410"/>
      <c r="D37" s="381">
        <f>SUM(D33:E36)</f>
        <v>8484.4791800000003</v>
      </c>
      <c r="E37" s="382"/>
      <c r="F37" s="381">
        <f>SUM(F33:G36)</f>
        <v>6099.3652350000002</v>
      </c>
      <c r="G37" s="382"/>
      <c r="H37" s="381" t="e">
        <f>SUM(H33:I36)</f>
        <v>#N/A</v>
      </c>
      <c r="I37" s="382"/>
      <c r="J37" s="381">
        <f>SUM(J33:K36)</f>
        <v>15190.547160000002</v>
      </c>
      <c r="K37" s="382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427" t="s">
        <v>433</v>
      </c>
      <c r="B41" s="386" t="s">
        <v>88</v>
      </c>
      <c r="C41" s="413"/>
      <c r="D41" s="386" t="s">
        <v>89</v>
      </c>
      <c r="E41" s="387"/>
      <c r="F41" s="424" t="s">
        <v>4</v>
      </c>
      <c r="G41" s="387"/>
      <c r="H41" s="418" t="s">
        <v>3</v>
      </c>
      <c r="I41" s="419"/>
      <c r="J41" s="390" t="s">
        <v>100</v>
      </c>
      <c r="K41" s="391"/>
    </row>
    <row r="42" spans="1:11" ht="12.75" customHeight="1" thickBot="1" x14ac:dyDescent="0.25">
      <c r="A42" s="428"/>
      <c r="B42" s="414"/>
      <c r="C42" s="415"/>
      <c r="D42" s="388"/>
      <c r="E42" s="389"/>
      <c r="F42" s="388"/>
      <c r="G42" s="389"/>
      <c r="H42" s="420"/>
      <c r="I42" s="421"/>
      <c r="J42" s="392"/>
      <c r="K42" s="391"/>
    </row>
    <row r="43" spans="1:11" ht="12.75" customHeight="1" thickBot="1" x14ac:dyDescent="0.25">
      <c r="A43" s="428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48.93674</v>
      </c>
      <c r="G44" s="153">
        <f>IF(výpočty!$U$14=1,Kalkulace!H30,Kalkulace!H76)</f>
        <v>48.93674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932.41385700000001</v>
      </c>
      <c r="C45" s="154">
        <f>IF(výpočty!$U$14=1,Kalkulace!D41,Kalkulace!D87)</f>
        <v>2078.2168630000001</v>
      </c>
      <c r="D45" s="153">
        <f>IF(výpočty!$U$14=1,Kalkulace!E31,Kalkulace!E77)</f>
        <v>932.41385700000001</v>
      </c>
      <c r="E45" s="154">
        <f>IF(výpočty!$U$14=1,Kalkulace!E41,Kalkulace!E87)</f>
        <v>2078.2168630000001</v>
      </c>
      <c r="F45" s="153">
        <f>IF(výpočty!$U$14=1,Kalkulace!F31,Kalkulace!F77)</f>
        <v>1505.40662</v>
      </c>
      <c r="G45" s="153">
        <f>IF(výpočty!$U$14=1,Kalkulace!H31,Kalkulace!H77)</f>
        <v>2078.2168630000001</v>
      </c>
      <c r="H45" s="153">
        <f>IF(výpočty!$U$14=1,Kalkulace!G31,Kalkulace!G77)</f>
        <v>932.41385700000001</v>
      </c>
      <c r="I45" s="161">
        <f>IF(výpočty!$U$14=1,Kalkulace!H41,Kalkulace!H87)</f>
        <v>2078.2168630000001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2135.1060960000004</v>
      </c>
      <c r="C46" s="154">
        <f>IF(výpočty!$U$14=1,Kalkulace!D42,Kalkulace!D88)</f>
        <v>2614.227754</v>
      </c>
      <c r="D46" s="153">
        <f>IF(výpočty!$U$14=1,Kalkulace!E32,Kalkulace!E78)</f>
        <v>2135.1060960000004</v>
      </c>
      <c r="E46" s="154">
        <f>IF(výpočty!$U$14=1,Kalkulace!E42,Kalkulace!E88)</f>
        <v>2614.227754</v>
      </c>
      <c r="F46" s="153">
        <f>IF(výpočty!$U$14=1,Kalkulace!F32,Kalkulace!F78)</f>
        <v>2135.1060960000004</v>
      </c>
      <c r="G46" s="153">
        <f>IF(výpočty!$U$14=1,Kalkulace!H32,Kalkulace!H78)</f>
        <v>2614.227754</v>
      </c>
      <c r="H46" s="153">
        <f>IF(výpočty!$U$14=1,Kalkulace!G32,Kalkulace!G78)</f>
        <v>2135.1060960000004</v>
      </c>
      <c r="I46" s="161">
        <f>IF(výpočty!$U$14=1,Kalkulace!H42,Kalkulace!H88)</f>
        <v>2614.227754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6061.9186300000001</v>
      </c>
      <c r="C47" s="154">
        <f>IF(výpočty!$U$14=1,Kalkulace!D43,Kalkulace!D89)</f>
        <v>6061.9186300000001</v>
      </c>
      <c r="D47" s="153">
        <f>IF(výpočty!$U$14=1,Kalkulace!E33,Kalkulace!E79)</f>
        <v>3676.8046850000001</v>
      </c>
      <c r="E47" s="154">
        <f>IF(výpočty!$U$14=1,Kalkulace!E43,Kalkulace!E89)</f>
        <v>3676.8046850000001</v>
      </c>
      <c r="F47" s="153">
        <f>IF(výpočty!$U$14=1,Kalkulace!F33,Kalkulace!F79)</f>
        <v>26209.657134999998</v>
      </c>
      <c r="G47" s="153">
        <f>IF(výpočty!$U$14=1,Kalkulace!H33,Kalkulace!H79)</f>
        <v>36382.834910000005</v>
      </c>
      <c r="H47" s="153">
        <f>IF(výpočty!$U$14=1,Kalkulace!G33,Kalkulace!G79)</f>
        <v>19618.378110000001</v>
      </c>
      <c r="I47" s="161">
        <f>IF(výpočty!$U$14=1,Kalkulace!H43,Kalkulace!H89)</f>
        <v>27666.665734999999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9129.438583000001</v>
      </c>
      <c r="C49" s="136">
        <f t="shared" si="0"/>
        <v>10754.363247000001</v>
      </c>
      <c r="D49" s="131">
        <f t="shared" si="0"/>
        <v>6744.324638</v>
      </c>
      <c r="E49" s="136">
        <f t="shared" si="0"/>
        <v>8369.2493020000002</v>
      </c>
      <c r="F49" s="131">
        <f t="shared" si="0"/>
        <v>29899.106590999996</v>
      </c>
      <c r="G49" s="131">
        <f t="shared" si="0"/>
        <v>41124.216267000003</v>
      </c>
      <c r="H49" s="131">
        <f t="shared" si="0"/>
        <v>22685.898063000001</v>
      </c>
      <c r="I49" s="136">
        <f t="shared" si="0"/>
        <v>32359.110352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385" t="s">
        <v>21</v>
      </c>
      <c r="F58" s="384"/>
      <c r="G58" s="416" t="s">
        <v>121</v>
      </c>
      <c r="H58" s="417"/>
      <c r="J58" s="166"/>
    </row>
    <row r="59" spans="1:11" x14ac:dyDescent="0.2">
      <c r="A59" t="str">
        <f>IF(výpočty!$A$110=0,výpočty!A111,výpočty!A110)</f>
        <v>A C3 mech.nem használható!</v>
      </c>
      <c r="E59" s="379" t="str">
        <f>IF(výpočty!$C$110=0,výpočty!C111,výpočty!C110)</f>
        <v>A C3 mech.nem használható!</v>
      </c>
      <c r="F59" s="379"/>
      <c r="G59" s="380" t="str">
        <f>IF(výpočty!$D$110=0,výpočty!D111,výpočty!D110)</f>
        <v>A C3 mech.nem használható!</v>
      </c>
      <c r="H59" s="379"/>
      <c r="J59" s="166"/>
    </row>
    <row r="60" spans="1:11" x14ac:dyDescent="0.2">
      <c r="A60" t="str">
        <f>výpočty!A112</f>
        <v/>
      </c>
      <c r="E60" s="379" t="str">
        <f>výpočty!C112</f>
        <v/>
      </c>
      <c r="F60" s="379"/>
      <c r="G60" s="380" t="str">
        <f>výpočty!D112</f>
        <v/>
      </c>
      <c r="H60" s="379"/>
      <c r="J60" s="166"/>
    </row>
    <row r="61" spans="1:11" x14ac:dyDescent="0.2">
      <c r="A61" t="str">
        <f>výpočty!A114</f>
        <v>RB 50/CB - pro posun nahoru</v>
      </c>
      <c r="E61" s="379" t="str">
        <f>výpočty!C114</f>
        <v>bez omezení</v>
      </c>
      <c r="F61" s="379"/>
      <c r="G61" s="380" t="e">
        <f>výpočty!D114</f>
        <v>#N/A</v>
      </c>
      <c r="H61" s="379"/>
    </row>
    <row r="62" spans="1:11" x14ac:dyDescent="0.2">
      <c r="A62" t="str">
        <f>výpočty!A115</f>
        <v>RB 3B</v>
      </c>
      <c r="E62" s="379" t="str">
        <f>výpočty!C115</f>
        <v>bez omezení</v>
      </c>
      <c r="F62" s="379"/>
      <c r="G62" s="380">
        <f>výpočty!D115</f>
        <v>1490.21471</v>
      </c>
      <c r="H62" s="379"/>
    </row>
    <row r="63" spans="1:11" x14ac:dyDescent="0.2">
      <c r="A63" t="str">
        <f>výpočty!A116</f>
        <v/>
      </c>
      <c r="E63" s="379" t="str">
        <f>výpočty!C116</f>
        <v/>
      </c>
      <c r="F63" s="379"/>
      <c r="G63" s="380" t="str">
        <f>výpočty!D116</f>
        <v/>
      </c>
      <c r="H63" s="379"/>
    </row>
    <row r="64" spans="1:11" x14ac:dyDescent="0.2">
      <c r="A64" t="str">
        <f>výpočty!A117</f>
        <v/>
      </c>
      <c r="E64" s="379" t="str">
        <f>výpočty!C117</f>
        <v/>
      </c>
      <c r="F64" s="379"/>
      <c r="G64" s="380" t="str">
        <f>výpočty!D117</f>
        <v/>
      </c>
      <c r="H64" s="379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402" t="s">
        <v>0</v>
      </c>
      <c r="B7" s="403"/>
      <c r="C7" s="404"/>
      <c r="D7" s="429" t="s">
        <v>2</v>
      </c>
      <c r="E7" s="429" t="s">
        <v>1</v>
      </c>
      <c r="F7" s="429" t="s">
        <v>4</v>
      </c>
      <c r="G7" s="429" t="s">
        <v>3</v>
      </c>
    </row>
    <row r="8" spans="1:7" ht="12.75" customHeight="1" x14ac:dyDescent="0.2">
      <c r="A8" s="432"/>
      <c r="B8" s="433"/>
      <c r="C8" s="434"/>
      <c r="D8" s="430"/>
      <c r="E8" s="430"/>
      <c r="F8" s="430"/>
      <c r="G8" s="430"/>
    </row>
    <row r="9" spans="1:7" ht="12.75" customHeight="1" thickBot="1" x14ac:dyDescent="0.25">
      <c r="A9" s="405"/>
      <c r="B9" s="406"/>
      <c r="C9" s="407"/>
      <c r="D9" s="431"/>
      <c r="E9" s="431"/>
      <c r="F9" s="431"/>
      <c r="G9" s="431"/>
    </row>
    <row r="10" spans="1:7" x14ac:dyDescent="0.2">
      <c r="A10" s="400" t="s">
        <v>7</v>
      </c>
      <c r="B10" s="401"/>
      <c r="C10" s="401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400" t="s">
        <v>8</v>
      </c>
      <c r="B11" s="401"/>
      <c r="C11" s="401"/>
      <c r="D11" s="8">
        <f>výpočty!I8*výpočty!G33</f>
        <v>502.25858099999999</v>
      </c>
      <c r="E11" s="9">
        <f>výpočty!I9*výpočty!G33</f>
        <v>502.25858099999999</v>
      </c>
      <c r="F11" s="9" t="e">
        <f>výpočty!I13*výpočty!I49</f>
        <v>#N/A</v>
      </c>
      <c r="G11" s="9">
        <f>výpočty!I10*výpočty!G33</f>
        <v>502.25858099999999</v>
      </c>
    </row>
    <row r="12" spans="1:7" x14ac:dyDescent="0.2">
      <c r="A12" s="400" t="s">
        <v>9</v>
      </c>
      <c r="B12" s="401"/>
      <c r="C12" s="401"/>
      <c r="D12" s="10">
        <f>výpočty!K8*výpočty!D33+výpočty!E34</f>
        <v>2144.437731</v>
      </c>
      <c r="E12" s="9">
        <f>výpočty!K9*výpočty!D33+výpočty!E34</f>
        <v>2144.437731</v>
      </c>
      <c r="F12" s="9" t="e">
        <f>výpočty!K13*výpočty!E49+výpočty!F48</f>
        <v>#N/A</v>
      </c>
      <c r="G12" s="9">
        <f>výpočty!K10*výpočty!D33+výpočty!E34</f>
        <v>2144.437731</v>
      </c>
    </row>
    <row r="13" spans="1:7" ht="13.5" thickBot="1" x14ac:dyDescent="0.25">
      <c r="A13" s="411" t="s">
        <v>6</v>
      </c>
      <c r="B13" s="411"/>
      <c r="C13" s="412"/>
      <c r="D13" s="11">
        <f>výpočty!G8*výpočty!L33+4*výpočty!N33</f>
        <v>6061.9186300000001</v>
      </c>
      <c r="E13" s="12">
        <f>výpočty!G9*výpočty!L34+4*výpočty!N34</f>
        <v>3676.8046850000001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13931.678485</v>
      </c>
    </row>
    <row r="14" spans="1:7" s="1" customFormat="1" ht="18.75" thickBot="1" x14ac:dyDescent="0.3">
      <c r="A14" s="408" t="s">
        <v>5</v>
      </c>
      <c r="B14" s="409"/>
      <c r="C14" s="410"/>
      <c r="D14" s="13">
        <f>SUM(D10:D13)</f>
        <v>8708.6149420000002</v>
      </c>
      <c r="E14" s="13">
        <f>SUM(E10:E13)</f>
        <v>6323.5009970000001</v>
      </c>
      <c r="F14" s="13" t="e">
        <f>SUM(F10:F13)</f>
        <v>#N/A</v>
      </c>
      <c r="G14" s="13">
        <f>SUM(G10:G13)</f>
        <v>16578.374797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402" t="s">
        <v>0</v>
      </c>
      <c r="B18" s="403"/>
      <c r="C18" s="404"/>
      <c r="D18" s="429" t="s">
        <v>2</v>
      </c>
      <c r="E18" s="429" t="s">
        <v>1</v>
      </c>
      <c r="F18" s="429" t="s">
        <v>4</v>
      </c>
      <c r="G18" s="429" t="s">
        <v>3</v>
      </c>
    </row>
    <row r="19" spans="1:8" ht="12.75" customHeight="1" thickBot="1" x14ac:dyDescent="0.25">
      <c r="A19" s="405"/>
      <c r="B19" s="406"/>
      <c r="C19" s="407"/>
      <c r="D19" s="431"/>
      <c r="E19" s="431"/>
      <c r="F19" s="431"/>
      <c r="G19" s="431"/>
    </row>
    <row r="20" spans="1:8" ht="12.75" customHeight="1" x14ac:dyDescent="0.2">
      <c r="A20" s="400" t="s">
        <v>7</v>
      </c>
      <c r="B20" s="401"/>
      <c r="C20" s="401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400" t="s">
        <v>8</v>
      </c>
      <c r="B21" s="401"/>
      <c r="C21" s="401"/>
      <c r="D21" s="8">
        <f>výpočty!I8*výpočty!G34</f>
        <v>370.87544000000003</v>
      </c>
      <c r="E21" s="9">
        <f>výpočty!I9*výpočty!G34</f>
        <v>370.87544000000003</v>
      </c>
      <c r="F21" s="9">
        <f>výpočty!I13*výpočty!I48</f>
        <v>1015.3791639999999</v>
      </c>
      <c r="G21" s="9">
        <f>výpočty!I10*výpočty!G34</f>
        <v>370.87544000000003</v>
      </c>
    </row>
    <row r="22" spans="1:8" x14ac:dyDescent="0.2">
      <c r="A22" s="400" t="s">
        <v>9</v>
      </c>
      <c r="B22" s="401"/>
      <c r="C22" s="401"/>
      <c r="D22" s="10">
        <f>výpočty!K8*výpočty!D34+výpočty!E34</f>
        <v>2051.6851099999999</v>
      </c>
      <c r="E22" s="9">
        <f>výpočty!K9*výpočty!D34+výpočty!E34</f>
        <v>2051.6851099999999</v>
      </c>
      <c r="F22" s="9" t="e">
        <f>výpočty!K13*výpočty!E48+výpočty!F48</f>
        <v>#N/A</v>
      </c>
      <c r="G22" s="9">
        <f>výpočty!K10*výpočty!D34+výpočty!E34</f>
        <v>2051.6851099999999</v>
      </c>
    </row>
    <row r="23" spans="1:8" ht="13.5" thickBot="1" x14ac:dyDescent="0.25">
      <c r="A23" s="411" t="s">
        <v>6</v>
      </c>
      <c r="B23" s="411"/>
      <c r="C23" s="412"/>
      <c r="D23" s="11">
        <f>výpočty!G8*výpočty!L33+4*výpočty!N33</f>
        <v>6061.9186300000001</v>
      </c>
      <c r="E23" s="12">
        <f>výpočty!G9*výpočty!L34+4*výpočty!N34</f>
        <v>3676.8046850000001</v>
      </c>
      <c r="F23" s="12">
        <f>výpočty!G13*výpočty!L33+výpočty!G14*výpočty!L41+4*výpočty!N41+výpočty!L45+výpočty!G15*výpočty!L44</f>
        <v>17877.292784999998</v>
      </c>
      <c r="G23" s="12">
        <f>výpočty!G10*výpočty!L33+výpočty!G11*výpočty!L36+4*výpočty!N36+výpočty!G12*výpočty!L39</f>
        <v>12767.986610000002</v>
      </c>
    </row>
    <row r="24" spans="1:8" s="1" customFormat="1" ht="18.75" thickBot="1" x14ac:dyDescent="0.3">
      <c r="A24" s="408" t="s">
        <v>5</v>
      </c>
      <c r="B24" s="409"/>
      <c r="C24" s="410"/>
      <c r="D24" s="13">
        <f>SUM(D20:D23)</f>
        <v>8484.4791800000003</v>
      </c>
      <c r="E24" s="14">
        <f>SUM(E20:E23)</f>
        <v>6099.3652350000002</v>
      </c>
      <c r="F24" s="15" t="e">
        <f>SUM(F20:F23)</f>
        <v>#N/A</v>
      </c>
      <c r="G24" s="15">
        <f>SUM(G20:G23)</f>
        <v>15190.547160000002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402" t="s">
        <v>0</v>
      </c>
      <c r="B28" s="403"/>
      <c r="C28" s="404"/>
      <c r="D28" s="429" t="s">
        <v>2</v>
      </c>
      <c r="E28" s="429" t="s">
        <v>1</v>
      </c>
      <c r="F28" s="429" t="s">
        <v>4</v>
      </c>
      <c r="G28" s="429" t="s">
        <v>3</v>
      </c>
      <c r="H28" s="26" t="s">
        <v>4</v>
      </c>
    </row>
    <row r="29" spans="1:8" ht="12.75" customHeight="1" thickBot="1" x14ac:dyDescent="0.25">
      <c r="A29" s="405"/>
      <c r="B29" s="406"/>
      <c r="C29" s="407"/>
      <c r="D29" s="431"/>
      <c r="E29" s="431"/>
      <c r="F29" s="431"/>
      <c r="G29" s="431"/>
      <c r="H29" s="27" t="s">
        <v>436</v>
      </c>
    </row>
    <row r="30" spans="1:8" x14ac:dyDescent="0.2">
      <c r="A30" s="400" t="s">
        <v>7</v>
      </c>
      <c r="B30" s="401"/>
      <c r="C30" s="401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48.93674</v>
      </c>
      <c r="G30" s="6">
        <f>výpočty!O10*výpočty!C35+výpočty!F33*výpočty!M10</f>
        <v>0</v>
      </c>
      <c r="H30">
        <f>výpočty!O13*výpočty!C36+výpočty!F33*výpočty!M13</f>
        <v>48.93674</v>
      </c>
    </row>
    <row r="31" spans="1:8" x14ac:dyDescent="0.2">
      <c r="A31" s="400" t="s">
        <v>8</v>
      </c>
      <c r="B31" s="401"/>
      <c r="C31" s="401"/>
      <c r="D31" s="8">
        <f>výpočty!I8*výpočty!G35</f>
        <v>932.41385700000001</v>
      </c>
      <c r="E31" s="8">
        <f>výpočty!I9*výpočty!G35</f>
        <v>932.41385700000001</v>
      </c>
      <c r="F31" s="8">
        <f>výpočty!I13*výpočty!G40</f>
        <v>1505.40662</v>
      </c>
      <c r="G31" s="8">
        <f>výpočty!I10*výpočty!G35</f>
        <v>932.41385700000001</v>
      </c>
      <c r="H31">
        <f>výpočty!I13*výpočty!G41</f>
        <v>2078.2168630000001</v>
      </c>
    </row>
    <row r="32" spans="1:8" x14ac:dyDescent="0.2">
      <c r="A32" s="400" t="s">
        <v>9</v>
      </c>
      <c r="B32" s="401"/>
      <c r="C32" s="401"/>
      <c r="D32" s="8">
        <f>výpočty!K8*výpočty!D35+výpočty!E59</f>
        <v>2135.1060960000004</v>
      </c>
      <c r="E32" s="8">
        <f>výpočty!K9*výpočty!D35+výpočty!E59</f>
        <v>2135.1060960000004</v>
      </c>
      <c r="F32" s="8">
        <f>výpočty!N14*výpočty!D40+výpočty!E40</f>
        <v>2135.1060960000004</v>
      </c>
      <c r="G32" s="8">
        <f>výpočty!K10*výpočty!D35+výpočty!E59</f>
        <v>2135.1060960000004</v>
      </c>
      <c r="H32">
        <f>výpočty!N14*výpočty!D41+výpočty!E40</f>
        <v>2614.227754</v>
      </c>
    </row>
    <row r="33" spans="1:8" ht="13.5" thickBot="1" x14ac:dyDescent="0.25">
      <c r="A33" s="411" t="s">
        <v>6</v>
      </c>
      <c r="B33" s="411"/>
      <c r="C33" s="412"/>
      <c r="D33" s="3">
        <f>výpočty!G8*výpočty!L33+4*výpočty!N33</f>
        <v>6061.9186300000001</v>
      </c>
      <c r="E33" s="4">
        <f>výpočty!G9*výpočty!L34+4*výpočty!N34</f>
        <v>3676.8046850000001</v>
      </c>
      <c r="F33" s="3">
        <f>výpočty!G13*výpočty!L33+výpočty!G14*výpočty!L42+4*výpočty!N42+výpočty!L45+výpočty!G15*výpočty!L44</f>
        <v>26209.657134999998</v>
      </c>
      <c r="G33" s="5">
        <f>výpočty!G10*výpočty!L33+výpočty!G11*výpočty!L37+4*výpočty!N37+výpočty!G12*výpočty!L39</f>
        <v>19618.378110000001</v>
      </c>
      <c r="H33">
        <f>výpočty!G13*výpočty!L33+výpočty!G14*výpočty!L43+4*výpočty!N43+výpočty!L45+výpočty!G15*výpočty!L44</f>
        <v>36382.834910000005</v>
      </c>
    </row>
    <row r="34" spans="1:8" s="1" customFormat="1" ht="18.75" thickBot="1" x14ac:dyDescent="0.3">
      <c r="A34" s="408" t="s">
        <v>5</v>
      </c>
      <c r="B34" s="409"/>
      <c r="C34" s="410"/>
      <c r="D34" s="13">
        <f>SUM(D30:D33)</f>
        <v>9129.438583000001</v>
      </c>
      <c r="E34" s="13">
        <f>SUM(E30:E33)</f>
        <v>6744.324638</v>
      </c>
      <c r="F34" s="13">
        <f>SUM(F30:F33)</f>
        <v>29899.106590999996</v>
      </c>
      <c r="G34" s="13">
        <f>SUM(G30:G33)</f>
        <v>22685.898063000001</v>
      </c>
      <c r="H34" s="13">
        <f>SUM(H30:H33)</f>
        <v>41124.216267000003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402" t="s">
        <v>0</v>
      </c>
      <c r="B38" s="403"/>
      <c r="C38" s="404"/>
      <c r="D38" s="429" t="s">
        <v>2</v>
      </c>
      <c r="E38" s="429" t="s">
        <v>1</v>
      </c>
      <c r="F38" s="435" t="s">
        <v>389</v>
      </c>
      <c r="G38" s="435" t="s">
        <v>388</v>
      </c>
      <c r="H38" s="429" t="s">
        <v>3</v>
      </c>
    </row>
    <row r="39" spans="1:8" ht="12.75" customHeight="1" thickBot="1" x14ac:dyDescent="0.25">
      <c r="A39" s="405"/>
      <c r="B39" s="406"/>
      <c r="C39" s="407"/>
      <c r="D39" s="431"/>
      <c r="E39" s="431"/>
      <c r="F39" s="436"/>
      <c r="G39" s="436"/>
      <c r="H39" s="431"/>
    </row>
    <row r="40" spans="1:8" ht="13.5" thickBot="1" x14ac:dyDescent="0.25">
      <c r="A40" s="400" t="s">
        <v>7</v>
      </c>
      <c r="B40" s="401"/>
      <c r="C40" s="401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734.05110000000002</v>
      </c>
      <c r="G40" s="19">
        <f>výpočty!O16*výpočty!C35+výpočty!F33*výpočty!M16</f>
        <v>734.05110000000002</v>
      </c>
      <c r="H40" s="19">
        <f>výpočty!O8*výpočty!C36+výpočty!F33*výpočty!M8</f>
        <v>0</v>
      </c>
    </row>
    <row r="41" spans="1:8" ht="13.5" thickBot="1" x14ac:dyDescent="0.25">
      <c r="A41" s="400" t="s">
        <v>8</v>
      </c>
      <c r="B41" s="401"/>
      <c r="C41" s="401"/>
      <c r="D41" s="8">
        <f>výpočty!I8*výpočty!G36</f>
        <v>2078.2168630000001</v>
      </c>
      <c r="E41" s="8">
        <f>výpočty!I9*výpočty!G36</f>
        <v>2078.2168630000001</v>
      </c>
      <c r="F41" s="19">
        <f>výpočty!I13*výpočty!G41</f>
        <v>2078.2168630000001</v>
      </c>
      <c r="G41" s="19">
        <f>výpočty!I13*výpočty!G40</f>
        <v>1505.40662</v>
      </c>
      <c r="H41" s="19">
        <f>výpočty!I8*výpočty!G36</f>
        <v>2078.2168630000001</v>
      </c>
    </row>
    <row r="42" spans="1:8" ht="13.5" thickBot="1" x14ac:dyDescent="0.25">
      <c r="A42" s="400" t="s">
        <v>9</v>
      </c>
      <c r="B42" s="401"/>
      <c r="C42" s="401"/>
      <c r="D42" s="8">
        <f>výpočty!K8*výpočty!D36+výpočty!E60</f>
        <v>2614.227754</v>
      </c>
      <c r="E42" s="8">
        <f>výpočty!K9*výpočty!D36+výpočty!E60</f>
        <v>2614.227754</v>
      </c>
      <c r="F42" s="19">
        <f>výpočty!N14*výpočty!D41+výpočty!E40</f>
        <v>2614.227754</v>
      </c>
      <c r="G42" s="19">
        <f>výpočty!N14*výpočty!D40+výpočty!E40</f>
        <v>2135.1060960000004</v>
      </c>
      <c r="H42" s="19">
        <f>výpočty!K8*výpočty!D36+výpočty!E60</f>
        <v>2614.227754</v>
      </c>
    </row>
    <row r="43" spans="1:8" ht="13.5" thickBot="1" x14ac:dyDescent="0.25">
      <c r="A43" s="411" t="s">
        <v>6</v>
      </c>
      <c r="B43" s="411"/>
      <c r="C43" s="412"/>
      <c r="D43" s="3">
        <f>výpočty!G8*výpočty!L33+4*výpočty!N33</f>
        <v>6061.9186300000001</v>
      </c>
      <c r="E43" s="4">
        <f>výpočty!G9*výpočty!L34+4*výpočty!N34</f>
        <v>3676.8046850000001</v>
      </c>
      <c r="F43" s="19">
        <f>výpočty!C44+výpočty!G16*výpočty!D43</f>
        <v>8145.8431900000005</v>
      </c>
      <c r="G43" s="19">
        <f>výpočty!C44+výpočty!G16*výpočty!C43</f>
        <v>7445.8026799999998</v>
      </c>
      <c r="H43" s="19">
        <f>výpočty!G10*výpočty!L33+výpočty!G11*výpočty!L38+4*výpočty!N37+výpočty!G12*výpočty!L39</f>
        <v>27666.665734999999</v>
      </c>
    </row>
    <row r="44" spans="1:8" s="1" customFormat="1" ht="18.75" thickBot="1" x14ac:dyDescent="0.3">
      <c r="A44" s="408" t="s">
        <v>5</v>
      </c>
      <c r="B44" s="409"/>
      <c r="C44" s="410"/>
      <c r="D44" s="13">
        <f>SUM(D40:D43)</f>
        <v>10754.363247000001</v>
      </c>
      <c r="E44" s="13">
        <f>SUM(E40:E43)</f>
        <v>8369.2493020000002</v>
      </c>
      <c r="F44" s="20">
        <f>SUM(F40:F43)</f>
        <v>13572.338907000001</v>
      </c>
      <c r="G44" s="20">
        <f>SUM(G40:G43)</f>
        <v>11820.366495999999</v>
      </c>
      <c r="H44" s="20">
        <f>SUM(H40:H43)</f>
        <v>32359.110352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402" t="s">
        <v>0</v>
      </c>
      <c r="B54" s="403"/>
      <c r="C54" s="404"/>
      <c r="D54" s="429" t="s">
        <v>2</v>
      </c>
      <c r="E54" s="429" t="s">
        <v>1</v>
      </c>
      <c r="F54" s="429" t="s">
        <v>4</v>
      </c>
      <c r="G54" s="429" t="s">
        <v>3</v>
      </c>
    </row>
    <row r="55" spans="1:7" ht="12.75" customHeight="1" thickBot="1" x14ac:dyDescent="0.25">
      <c r="A55" s="405"/>
      <c r="B55" s="406"/>
      <c r="C55" s="407"/>
      <c r="D55" s="431"/>
      <c r="E55" s="431"/>
      <c r="F55" s="431"/>
      <c r="G55" s="431"/>
    </row>
    <row r="56" spans="1:7" x14ac:dyDescent="0.2">
      <c r="A56" s="400" t="s">
        <v>7</v>
      </c>
      <c r="B56" s="401"/>
      <c r="C56" s="401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400" t="s">
        <v>8</v>
      </c>
      <c r="B57" s="401"/>
      <c r="C57" s="401"/>
      <c r="D57" s="8">
        <f>výpočty!I20*výpočty!G33</f>
        <v>502.25858099999999</v>
      </c>
      <c r="E57" s="9">
        <f>výpočty!I21*výpočty!G33</f>
        <v>502.25858099999999</v>
      </c>
      <c r="F57" s="9" t="e">
        <f>výpočty!I25*výpočty!I49</f>
        <v>#N/A</v>
      </c>
      <c r="G57" s="9">
        <f>výpočty!I22*výpočty!G33</f>
        <v>502.25858099999999</v>
      </c>
    </row>
    <row r="58" spans="1:7" x14ac:dyDescent="0.2">
      <c r="A58" s="400" t="s">
        <v>9</v>
      </c>
      <c r="B58" s="401"/>
      <c r="C58" s="401"/>
      <c r="D58" s="10">
        <f>výpočty!K20*výpočty!D33+výpočty!E33</f>
        <v>1344.680321</v>
      </c>
      <c r="E58" s="9">
        <f>výpočty!K21*výpočty!D33+výpočty!E33</f>
        <v>1344.680321</v>
      </c>
      <c r="F58" s="9" t="e">
        <f>výpočty!K25*výpočty!E49+výpočty!F48</f>
        <v>#N/A</v>
      </c>
      <c r="G58" s="9">
        <f>výpočty!K22*výpočty!D33+výpočty!E33</f>
        <v>1344.680321</v>
      </c>
    </row>
    <row r="59" spans="1:7" ht="13.5" thickBot="1" x14ac:dyDescent="0.25">
      <c r="A59" s="411" t="s">
        <v>6</v>
      </c>
      <c r="B59" s="411"/>
      <c r="C59" s="412"/>
      <c r="D59" s="11">
        <f>výpočty!G20*výpočty!L33+4*výpočty!N33</f>
        <v>6061.9186300000001</v>
      </c>
      <c r="E59" s="12">
        <f>výpočty!G21*výpočty!L34+4*výpočty!N34</f>
        <v>3676.8046850000001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13931.678485</v>
      </c>
    </row>
    <row r="60" spans="1:7" s="1" customFormat="1" ht="18.75" thickBot="1" x14ac:dyDescent="0.3">
      <c r="A60" s="408" t="s">
        <v>5</v>
      </c>
      <c r="B60" s="409"/>
      <c r="C60" s="410"/>
      <c r="D60" s="13">
        <f>SUM(D56:D59)</f>
        <v>7908.857532</v>
      </c>
      <c r="E60" s="13">
        <f>SUM(E56:E59)</f>
        <v>5523.7435869999999</v>
      </c>
      <c r="F60" s="13" t="e">
        <f>SUM(F56:F59)</f>
        <v>#N/A</v>
      </c>
      <c r="G60" s="13">
        <f>SUM(G56:G59)</f>
        <v>15778.617387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402" t="s">
        <v>0</v>
      </c>
      <c r="B64" s="403"/>
      <c r="C64" s="404"/>
      <c r="D64" s="429" t="s">
        <v>2</v>
      </c>
      <c r="E64" s="429" t="s">
        <v>1</v>
      </c>
      <c r="F64" s="429" t="s">
        <v>4</v>
      </c>
      <c r="G64" s="429" t="s">
        <v>3</v>
      </c>
    </row>
    <row r="65" spans="1:8" ht="12.75" customHeight="1" thickBot="1" x14ac:dyDescent="0.25">
      <c r="A65" s="405"/>
      <c r="B65" s="406"/>
      <c r="C65" s="407"/>
      <c r="D65" s="431"/>
      <c r="E65" s="431"/>
      <c r="F65" s="431"/>
      <c r="G65" s="431"/>
    </row>
    <row r="66" spans="1:8" x14ac:dyDescent="0.2">
      <c r="A66" s="400" t="s">
        <v>7</v>
      </c>
      <c r="B66" s="401"/>
      <c r="C66" s="401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400" t="s">
        <v>8</v>
      </c>
      <c r="B67" s="401"/>
      <c r="C67" s="401"/>
      <c r="D67" s="8">
        <f>výpočty!I20*výpočty!G34</f>
        <v>370.87544000000003</v>
      </c>
      <c r="E67" s="9">
        <f>výpočty!I21*výpočty!G34</f>
        <v>370.87544000000003</v>
      </c>
      <c r="F67" s="9">
        <f>výpočty!I25*výpočty!I48</f>
        <v>1015.3791639999999</v>
      </c>
      <c r="G67" s="9">
        <f>výpočty!I22*výpočty!G34</f>
        <v>370.87544000000003</v>
      </c>
    </row>
    <row r="68" spans="1:8" x14ac:dyDescent="0.2">
      <c r="A68" s="400" t="s">
        <v>9</v>
      </c>
      <c r="B68" s="401"/>
      <c r="C68" s="401"/>
      <c r="D68" s="10">
        <f>výpočty!K20*výpočty!D34+výpočty!E33</f>
        <v>1251.9277000000002</v>
      </c>
      <c r="E68" s="9">
        <f>výpočty!K21*výpočty!D34+výpočty!E33</f>
        <v>1251.9277000000002</v>
      </c>
      <c r="F68" s="9" t="e">
        <f>výpočty!K25*výpočty!E48+výpočty!F48</f>
        <v>#N/A</v>
      </c>
      <c r="G68" s="9">
        <f>výpočty!K22*výpočty!D34+výpočty!E33</f>
        <v>1251.9277000000002</v>
      </c>
    </row>
    <row r="69" spans="1:8" ht="13.5" thickBot="1" x14ac:dyDescent="0.25">
      <c r="A69" s="411" t="s">
        <v>6</v>
      </c>
      <c r="B69" s="411"/>
      <c r="C69" s="412"/>
      <c r="D69" s="11">
        <f>výpočty!G20*výpočty!L33+4*výpočty!N33</f>
        <v>6061.9186300000001</v>
      </c>
      <c r="E69" s="12">
        <f>výpočty!G21*výpočty!L34+4*výpočty!N34</f>
        <v>3676.8046850000001</v>
      </c>
      <c r="F69" s="12">
        <f>výpočty!G25*výpočty!L33+výpočty!G26*výpočty!L41+4*výpočty!N41+výpočty!L45+výpočty!G27*výpočty!L44</f>
        <v>17877.292784999998</v>
      </c>
      <c r="G69" s="12">
        <f>výpočty!G22*výpočty!L33+výpočty!G23*výpočty!L36+4*výpočty!N36+výpočty!G24*výpočty!L39</f>
        <v>12767.986610000002</v>
      </c>
    </row>
    <row r="70" spans="1:8" s="1" customFormat="1" ht="18.75" thickBot="1" x14ac:dyDescent="0.3">
      <c r="A70" s="408" t="s">
        <v>5</v>
      </c>
      <c r="B70" s="409"/>
      <c r="C70" s="410"/>
      <c r="D70" s="13">
        <f>SUM(D66:D69)</f>
        <v>7684.7217700000001</v>
      </c>
      <c r="E70" s="14">
        <f>SUM(E66:E69)</f>
        <v>5299.607825</v>
      </c>
      <c r="F70" s="15" t="e">
        <f>SUM(F66:F69)</f>
        <v>#N/A</v>
      </c>
      <c r="G70" s="15">
        <f>SUM(G66:G69)</f>
        <v>14390.789750000002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402" t="s">
        <v>0</v>
      </c>
      <c r="B74" s="403"/>
      <c r="C74" s="404"/>
      <c r="D74" s="429" t="s">
        <v>2</v>
      </c>
      <c r="E74" s="429" t="s">
        <v>1</v>
      </c>
      <c r="F74" s="429" t="s">
        <v>4</v>
      </c>
      <c r="G74" s="429" t="s">
        <v>3</v>
      </c>
      <c r="H74" s="26" t="s">
        <v>4</v>
      </c>
    </row>
    <row r="75" spans="1:8" ht="12.75" customHeight="1" thickBot="1" x14ac:dyDescent="0.25">
      <c r="A75" s="405"/>
      <c r="B75" s="406"/>
      <c r="C75" s="407"/>
      <c r="D75" s="431"/>
      <c r="E75" s="431"/>
      <c r="F75" s="431"/>
      <c r="G75" s="431"/>
      <c r="H75" s="27" t="s">
        <v>436</v>
      </c>
    </row>
    <row r="76" spans="1:8" x14ac:dyDescent="0.2">
      <c r="A76" s="400" t="s">
        <v>7</v>
      </c>
      <c r="B76" s="401"/>
      <c r="C76" s="401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48.93674</v>
      </c>
      <c r="G76" s="6">
        <f>výpočty!O22*výpočty!C35+výpočty!F33*výpočty!M22</f>
        <v>0</v>
      </c>
      <c r="H76">
        <f>výpočty!O25*výpočty!C36+výpočty!F33*výpočty!M25</f>
        <v>48.93674</v>
      </c>
    </row>
    <row r="77" spans="1:8" x14ac:dyDescent="0.2">
      <c r="A77" s="400" t="s">
        <v>8</v>
      </c>
      <c r="B77" s="401"/>
      <c r="C77" s="401"/>
      <c r="D77" s="8">
        <f>výpočty!I20*výpočty!G35</f>
        <v>932.41385700000001</v>
      </c>
      <c r="E77" s="8">
        <f>výpočty!I21*výpočty!G35</f>
        <v>932.41385700000001</v>
      </c>
      <c r="F77" s="8">
        <f>výpočty!I25*výpočty!G40</f>
        <v>1505.40662</v>
      </c>
      <c r="G77" s="8">
        <f>výpočty!I22*výpočty!G35</f>
        <v>932.41385700000001</v>
      </c>
      <c r="H77">
        <f>výpočty!I25*výpočty!G41</f>
        <v>2078.2168630000001</v>
      </c>
    </row>
    <row r="78" spans="1:8" x14ac:dyDescent="0.2">
      <c r="A78" s="400" t="s">
        <v>9</v>
      </c>
      <c r="B78" s="401"/>
      <c r="C78" s="401"/>
      <c r="D78" s="8">
        <f>výpočty!K20*výpočty!D35+výpočty!E59</f>
        <v>2135.1060960000004</v>
      </c>
      <c r="E78" s="8">
        <f>výpočty!K21*výpočty!D35+výpočty!E59</f>
        <v>2135.1060960000004</v>
      </c>
      <c r="F78" s="8">
        <f>výpočty!N26*výpočty!D40+výpočty!E40</f>
        <v>2135.1060960000004</v>
      </c>
      <c r="G78" s="8">
        <f>výpočty!K22*výpočty!D35+výpočty!E59</f>
        <v>2135.1060960000004</v>
      </c>
      <c r="H78">
        <f>výpočty!N26*výpočty!D41+výpočty!E40</f>
        <v>2614.227754</v>
      </c>
    </row>
    <row r="79" spans="1:8" ht="13.5" thickBot="1" x14ac:dyDescent="0.25">
      <c r="A79" s="411" t="s">
        <v>6</v>
      </c>
      <c r="B79" s="411"/>
      <c r="C79" s="412"/>
      <c r="D79" s="3">
        <f>výpočty!G20*výpočty!L33+4*výpočty!N33</f>
        <v>6061.9186300000001</v>
      </c>
      <c r="E79" s="4">
        <f>výpočty!G21*výpočty!L34+4*výpočty!N34</f>
        <v>3676.8046850000001</v>
      </c>
      <c r="F79" s="3">
        <f>výpočty!G25*výpočty!L33+výpočty!G26*výpočty!L42+4*výpočty!N42+výpočty!L45+výpočty!G27*výpočty!L44</f>
        <v>26209.657134999998</v>
      </c>
      <c r="G79" s="5">
        <f>výpočty!G22*výpočty!L33+výpočty!G23*výpočty!L37+4*výpočty!N37+výpočty!G24*výpočty!L39</f>
        <v>19618.378110000001</v>
      </c>
      <c r="H79">
        <f>výpočty!G25*výpočty!L33+výpočty!G26*výpočty!L43+4*výpočty!N42+výpočty!L45+výpočty!G27*výpočty!L44</f>
        <v>36382.834910000005</v>
      </c>
    </row>
    <row r="80" spans="1:8" s="1" customFormat="1" ht="18.75" thickBot="1" x14ac:dyDescent="0.3">
      <c r="A80" s="408" t="s">
        <v>5</v>
      </c>
      <c r="B80" s="409"/>
      <c r="C80" s="410"/>
      <c r="D80" s="13">
        <f>SUM(D76:D79)</f>
        <v>9129.438583000001</v>
      </c>
      <c r="E80" s="13">
        <f>SUM(E76:E79)</f>
        <v>6744.324638</v>
      </c>
      <c r="F80" s="13">
        <f>SUM(F76:F79)</f>
        <v>29899.106590999996</v>
      </c>
      <c r="G80" s="13">
        <f>SUM(G76:G79)</f>
        <v>22685.898063000001</v>
      </c>
      <c r="H80" s="13">
        <f>SUM(H76:H79)</f>
        <v>41124.216267000003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402" t="s">
        <v>0</v>
      </c>
      <c r="B84" s="403"/>
      <c r="C84" s="404"/>
      <c r="D84" s="429" t="s">
        <v>2</v>
      </c>
      <c r="E84" s="429" t="s">
        <v>1</v>
      </c>
      <c r="F84" s="435" t="s">
        <v>389</v>
      </c>
      <c r="G84" s="435" t="s">
        <v>388</v>
      </c>
      <c r="H84" s="429" t="s">
        <v>3</v>
      </c>
    </row>
    <row r="85" spans="1:8" ht="12.75" customHeight="1" thickBot="1" x14ac:dyDescent="0.25">
      <c r="A85" s="405"/>
      <c r="B85" s="406"/>
      <c r="C85" s="407"/>
      <c r="D85" s="431"/>
      <c r="E85" s="431"/>
      <c r="F85" s="436"/>
      <c r="G85" s="436"/>
      <c r="H85" s="431"/>
    </row>
    <row r="86" spans="1:8" ht="13.5" thickBot="1" x14ac:dyDescent="0.25">
      <c r="A86" s="400" t="s">
        <v>7</v>
      </c>
      <c r="B86" s="401"/>
      <c r="C86" s="401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48.93674</v>
      </c>
      <c r="G86" s="19">
        <f>výpočty!O25*výpočty!C35+výpočty!F33*výpočty!M25</f>
        <v>48.93674</v>
      </c>
      <c r="H86" s="19">
        <f>výpočty!O20*výpočty!C36+výpočty!F33*výpočty!M20</f>
        <v>0</v>
      </c>
    </row>
    <row r="87" spans="1:8" ht="13.5" thickBot="1" x14ac:dyDescent="0.25">
      <c r="A87" s="400" t="s">
        <v>8</v>
      </c>
      <c r="B87" s="401"/>
      <c r="C87" s="401"/>
      <c r="D87" s="8">
        <f>výpočty!I20*výpočty!G36</f>
        <v>2078.2168630000001</v>
      </c>
      <c r="E87" s="8">
        <f>výpočty!I21*výpočty!G36</f>
        <v>2078.2168630000001</v>
      </c>
      <c r="F87" s="19">
        <f>výpočty!I25*výpočty!G41</f>
        <v>2078.2168630000001</v>
      </c>
      <c r="G87" s="19">
        <f>výpočty!I25*výpočty!G40</f>
        <v>1505.40662</v>
      </c>
      <c r="H87" s="19">
        <f>výpočty!I20*výpočty!G36</f>
        <v>2078.2168630000001</v>
      </c>
    </row>
    <row r="88" spans="1:8" ht="13.5" thickBot="1" x14ac:dyDescent="0.25">
      <c r="A88" s="400" t="s">
        <v>9</v>
      </c>
      <c r="B88" s="401"/>
      <c r="C88" s="401"/>
      <c r="D88" s="8">
        <f>výpočty!K20*výpočty!D36+výpočty!E60</f>
        <v>2614.227754</v>
      </c>
      <c r="E88" s="8">
        <f>výpočty!K21*výpočty!D36+výpočty!E60</f>
        <v>2614.227754</v>
      </c>
      <c r="F88" s="19">
        <f>výpočty!N26*výpočty!D41+výpočty!E40</f>
        <v>2614.227754</v>
      </c>
      <c r="G88" s="19">
        <f>výpočty!N26*výpočty!D40+výpočty!E40</f>
        <v>2135.1060960000004</v>
      </c>
      <c r="H88" s="19">
        <f>výpočty!K20*výpočty!D36+výpočty!E60</f>
        <v>2614.227754</v>
      </c>
    </row>
    <row r="89" spans="1:8" ht="13.5" thickBot="1" x14ac:dyDescent="0.25">
      <c r="A89" s="411" t="s">
        <v>6</v>
      </c>
      <c r="B89" s="411"/>
      <c r="C89" s="412"/>
      <c r="D89" s="3">
        <f>výpočty!G20*výpočty!L33+4*výpočty!N33</f>
        <v>6061.9186300000001</v>
      </c>
      <c r="E89" s="4">
        <f>výpočty!G21*výpočty!L34+4*výpočty!N34</f>
        <v>3676.8046850000001</v>
      </c>
      <c r="F89" s="19">
        <f>výpočty!G25*výpočty!L33+4*výpočty!N42+výpočty!C44+výpočty!G27*výpočty!D43</f>
        <v>14472.90926</v>
      </c>
      <c r="G89" s="19">
        <f>výpočty!G25*výpočty!L33+4*výpočty!N42+výpočty!C44+výpočty!G27*výpočty!C43</f>
        <v>13772.868750000001</v>
      </c>
      <c r="H89" s="19">
        <f>výpočty!G22*výpočty!L33+výpočty!G23*výpočty!L38+4*výpočty!N37+výpočty!G24*výpočty!L39</f>
        <v>27666.665734999999</v>
      </c>
    </row>
    <row r="90" spans="1:8" s="1" customFormat="1" ht="18.75" thickBot="1" x14ac:dyDescent="0.3">
      <c r="A90" s="408" t="s">
        <v>5</v>
      </c>
      <c r="B90" s="409"/>
      <c r="C90" s="410"/>
      <c r="D90" s="13">
        <f>SUM(D86:D89)</f>
        <v>10754.363247000001</v>
      </c>
      <c r="E90" s="13">
        <f>SUM(E86:E89)</f>
        <v>8369.2493020000002</v>
      </c>
      <c r="F90" s="20">
        <f>SUM(F86:F89)</f>
        <v>19214.290616999999</v>
      </c>
      <c r="G90" s="20">
        <f>SUM(G86:G89)</f>
        <v>17462.318206000004</v>
      </c>
      <c r="H90" s="20">
        <f>SUM(H86:H89)</f>
        <v>32359.110352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47" t="str">
        <f>CONCATENATE(Překlady!$A$106,"/",Překlady!$A$105)</f>
        <v>Az árak ÁFa nélül vannak megadva, hatályban , 06.01.2025/Ver. 25.02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9"/>
    </row>
    <row r="3" spans="2:31" x14ac:dyDescent="0.25">
      <c r="B3" s="450" t="str">
        <f>Překlady!$A$131</f>
        <v>Megrendelési űrlap Rehau redőnyökre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2"/>
      <c r="Z3" s="452"/>
      <c r="AA3" s="452"/>
      <c r="AB3" s="452"/>
      <c r="AC3" s="452"/>
      <c r="AD3" s="452"/>
      <c r="AE3" s="453"/>
    </row>
    <row r="4" spans="2:31" x14ac:dyDescent="0.25">
      <c r="B4" s="450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2"/>
      <c r="Z4" s="452"/>
      <c r="AA4" s="452"/>
      <c r="AB4" s="452"/>
      <c r="AC4" s="452"/>
      <c r="AD4" s="452"/>
      <c r="AE4" s="453"/>
    </row>
    <row r="5" spans="2:31" x14ac:dyDescent="0.25">
      <c r="B5" s="450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2"/>
      <c r="Z5" s="452"/>
      <c r="AA5" s="452"/>
      <c r="AB5" s="452"/>
      <c r="AC5" s="452"/>
      <c r="AD5" s="452"/>
      <c r="AE5" s="453"/>
    </row>
    <row r="6" spans="2:31" x14ac:dyDescent="0.25">
      <c r="B6" s="450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2"/>
      <c r="Z6" s="452"/>
      <c r="AA6" s="452"/>
      <c r="AB6" s="452"/>
      <c r="AC6" s="452"/>
      <c r="AD6" s="452"/>
      <c r="AE6" s="453"/>
    </row>
    <row r="7" spans="2:3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4"/>
      <c r="Z7" s="454"/>
      <c r="AA7" s="454"/>
      <c r="AB7" s="454"/>
      <c r="AC7" s="454"/>
      <c r="AD7" s="454"/>
      <c r="AE7" s="455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56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8"/>
    </row>
    <row r="10" spans="2:31" ht="5.25" customHeight="1" x14ac:dyDescent="0.25">
      <c r="B10" s="456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8"/>
    </row>
    <row r="11" spans="2:31" ht="18.75" x14ac:dyDescent="0.3">
      <c r="B11" s="459" t="str">
        <f>Překlady!A129</f>
        <v>Töltse ki kérem az elérhetőségét, ezután kattintson az alábbi mezőbe.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1"/>
    </row>
    <row r="12" spans="2:31" ht="18.75" x14ac:dyDescent="0.3">
      <c r="B12" s="462" t="str">
        <f>Překlady!$A$130</f>
        <v>Az elérhetőségi adatok kitöltésével egyben elismeri, hogy megismerkedett az alábbi információkkal!</v>
      </c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4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73" t="str">
        <f>Překlady!$A$4</f>
        <v>Megnevezés</v>
      </c>
      <c r="C14" s="474"/>
      <c r="D14" s="474"/>
      <c r="E14" s="474"/>
      <c r="F14" s="474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6"/>
      <c r="AA14" s="269"/>
      <c r="AB14" s="479" t="str">
        <f>Překlady!A2</f>
        <v>Redőny megrendelés</v>
      </c>
      <c r="AC14" s="480"/>
      <c r="AD14" s="480"/>
      <c r="AE14" s="481"/>
    </row>
    <row r="15" spans="2:31" ht="18.75" customHeight="1" x14ac:dyDescent="0.25">
      <c r="B15" s="477" t="str">
        <f>Překlady!$A$128</f>
        <v>Cím</v>
      </c>
      <c r="C15" s="478"/>
      <c r="D15" s="478"/>
      <c r="E15" s="478"/>
      <c r="F15" s="478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8"/>
      <c r="AA15" s="269"/>
      <c r="AB15" s="482"/>
      <c r="AC15" s="483"/>
      <c r="AD15" s="483"/>
      <c r="AE15" s="484"/>
    </row>
    <row r="16" spans="2:31" ht="18.75" customHeight="1" x14ac:dyDescent="0.25">
      <c r="B16" s="465" t="str">
        <f>Překlady!$A$7</f>
        <v>Azonosító szám:</v>
      </c>
      <c r="C16" s="466"/>
      <c r="D16" s="466"/>
      <c r="E16" s="466"/>
      <c r="F16" s="466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8"/>
      <c r="AA16" s="269"/>
      <c r="AB16" s="482"/>
      <c r="AC16" s="483"/>
      <c r="AD16" s="483"/>
      <c r="AE16" s="484"/>
    </row>
    <row r="17" spans="2:31" ht="18.75" customHeight="1" x14ac:dyDescent="0.25">
      <c r="B17" s="465" t="str">
        <f>Překlady!A126</f>
        <v>Kontakt telefon</v>
      </c>
      <c r="C17" s="466"/>
      <c r="D17" s="466"/>
      <c r="E17" s="466"/>
      <c r="F17" s="466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8"/>
      <c r="AA17" s="269"/>
      <c r="AB17" s="482"/>
      <c r="AC17" s="483"/>
      <c r="AD17" s="483"/>
      <c r="AE17" s="484"/>
    </row>
    <row r="18" spans="2:31" ht="18.75" customHeight="1" x14ac:dyDescent="0.25">
      <c r="B18" s="469" t="str">
        <f>Překlady!A127</f>
        <v>Kontakt e-mail</v>
      </c>
      <c r="C18" s="470"/>
      <c r="D18" s="470"/>
      <c r="E18" s="470"/>
      <c r="F18" s="470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2"/>
      <c r="AA18" s="269"/>
      <c r="AB18" s="485"/>
      <c r="AC18" s="486"/>
      <c r="AD18" s="486"/>
      <c r="AE18" s="487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39" t="str">
        <f>CONCATENATE(Překlady!A119," ",Překlady!A120)</f>
        <v>A kitöltött megrendelést küldje el a következő címre: megrendelesek@demos-trade.com</v>
      </c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40"/>
    </row>
    <row r="22" spans="2:31" ht="16.5" customHeight="1" x14ac:dyDescent="0.25">
      <c r="B22" s="282">
        <v>2</v>
      </c>
      <c r="C22" s="437" t="str">
        <f>Překlady!$A$122</f>
        <v>A szórólapba a szekrény belső méreteit kell beadni ( a külső méret csak ellenőrzésre szolgál)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8"/>
    </row>
    <row r="23" spans="2:31" ht="16.5" customHeight="1" x14ac:dyDescent="0.25">
      <c r="B23" s="282">
        <v>3</v>
      </c>
      <c r="C23" s="437" t="str">
        <f>Překlady!$A$123</f>
        <v>Amennyiben valamelyik tétel megrendelésre van, lehet a minimális megrendelés teljes csomagolás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8"/>
    </row>
    <row r="24" spans="2:31" ht="16.5" customHeight="1" x14ac:dyDescent="0.25">
      <c r="B24" s="282">
        <v>4</v>
      </c>
      <c r="C24" s="437" t="str">
        <f>Překlady!$A$125</f>
        <v>A szórólap, mint segítség szolgál a konfigurációhoz, a redőny helyes működéséhez mindig be kell tartani a gyártó ajánlatait (Rehau)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8"/>
    </row>
    <row r="25" spans="2:31" ht="16.5" customHeight="1" x14ac:dyDescent="0.25">
      <c r="B25" s="282">
        <v>5</v>
      </c>
      <c r="C25" s="437" t="str">
        <f>Překlady!$A$124</f>
        <v>500 mm-nél magasabb függőleges redőnynél mindig megfelelő típusú kiegyensúlyozó mechanika használatát ajánljuk (C3, C6, C8, Caddy)</v>
      </c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8"/>
    </row>
    <row r="26" spans="2:31" ht="37.5" customHeight="1" x14ac:dyDescent="0.25">
      <c r="B26" s="282">
        <v>6</v>
      </c>
      <c r="C26" s="437" t="str">
        <f>Překlady!$A$174</f>
        <v>A ráütődő vezetés 29mm Metallic line C3 kombinációval , szükséges a vezető léc beállítása az alábbi rajz szerint.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8"/>
    </row>
    <row r="27" spans="2:31" ht="30" customHeight="1" x14ac:dyDescent="0.25">
      <c r="B27" s="282">
        <v>7</v>
      </c>
      <c r="C27" s="437" t="str">
        <f>Překlady!$A$132</f>
        <v>A szórólapon nincsenek megadva a szekrény maximális méretei, tartsa be a gyártó által megadott maximális méreteket (Rehau)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8"/>
    </row>
    <row r="28" spans="2:31" ht="16.5" customHeight="1" x14ac:dyDescent="0.25">
      <c r="B28" s="282">
        <v>8</v>
      </c>
      <c r="C28" s="444" t="str">
        <f>Překlady!$A$135</f>
        <v>A redőnyprofil maximális hossza a szórólapon (a redőny szélessége) 1200 mm</v>
      </c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6"/>
    </row>
    <row r="29" spans="2:31" ht="16.5" customHeight="1" x14ac:dyDescent="0.25">
      <c r="B29" s="282">
        <v>9</v>
      </c>
      <c r="C29" s="437" t="str">
        <f>Překlady!$A$103</f>
        <v>A szerelési útmutató megtalálható a honlapunkon www.demos24plus.com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8"/>
    </row>
    <row r="30" spans="2:31" ht="16.5" customHeight="1" x14ac:dyDescent="0.25">
      <c r="B30" s="282">
        <v>10</v>
      </c>
      <c r="C30" s="437" t="str">
        <f>Překlady!$A$121</f>
        <v>A megrendelési űrlap több lapot tartalmaz, ezek között váltani lehet az alsó részben.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8"/>
    </row>
    <row r="31" spans="2:31" ht="16.5" customHeight="1" x14ac:dyDescent="0.25">
      <c r="B31" s="282">
        <v>11</v>
      </c>
      <c r="C31" s="437" t="str">
        <f>Překlady!$A$118</f>
        <v>Mindig használja a legfrissebb megrendelő lapot, amelyet megtalál a web oldalunkon.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8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1" t="s">
        <v>1788</v>
      </c>
      <c r="Z32" s="442"/>
      <c r="AA32" s="442"/>
      <c r="AB32" s="442"/>
      <c r="AC32" s="442"/>
      <c r="AD32" s="442"/>
      <c r="AE32" s="443"/>
    </row>
  </sheetData>
  <sheetProtection algorithmName="SHA-512" hashValue="Eh07YM52v6fgDKuytXotf1CUkHxL/jSkrjNmjBCXi11jZvtwHGXn2AyySh5EoO/g/QW4fPeo+7iPJ0cI7Wrt6g==" saltValue="0aCBJieXI1RVqgE6xlhJyw==" spinCount="100000" sheet="1" objects="1" scenarios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RowColHeaders="0" showZeros="0" topLeftCell="B1" zoomScale="90" zoomScaleNormal="90" workbookViewId="0">
      <selection activeCell="D21" sqref="D21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45" t="str">
        <f>Překlady!$A$2</f>
        <v>Redőny megrendelés</v>
      </c>
      <c r="D2" s="546"/>
      <c r="E2" s="546"/>
      <c r="F2" s="546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47"/>
      <c r="D3" s="548"/>
      <c r="E3" s="548"/>
      <c r="F3" s="548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583" t="str">
        <f>Překlady!$A$3</f>
        <v>Vevő</v>
      </c>
      <c r="D6" s="584"/>
      <c r="E6" s="584"/>
      <c r="F6" s="584"/>
      <c r="G6" s="211"/>
      <c r="I6" s="549" t="str">
        <f>Překlady!$A$15</f>
        <v>A szekrény méretei</v>
      </c>
      <c r="J6" s="549"/>
      <c r="K6" s="549"/>
      <c r="L6" s="549"/>
      <c r="M6" s="553" t="str">
        <f>Překlady!$A$114</f>
        <v>belső</v>
      </c>
      <c r="N6" s="553" t="str">
        <f>Překlady!$A$113</f>
        <v>ellenőrzésre külső</v>
      </c>
      <c r="O6" s="554"/>
    </row>
    <row r="7" spans="3:21" ht="15" customHeight="1" x14ac:dyDescent="0.2">
      <c r="C7" s="576" t="str">
        <f>Překlady!$A$137</f>
        <v>(az adatakot javíthatja az előszó lapon)</v>
      </c>
      <c r="D7" s="577"/>
      <c r="E7" s="577"/>
      <c r="F7" s="577"/>
      <c r="G7" s="300"/>
      <c r="H7" s="221"/>
      <c r="I7" s="549"/>
      <c r="J7" s="549"/>
      <c r="K7" s="549"/>
      <c r="L7" s="549"/>
      <c r="M7" s="553"/>
      <c r="N7" s="551" t="str">
        <f>Překlady!$A$115</f>
        <v>(anyag va.18 mm)</v>
      </c>
      <c r="O7" s="552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Megnevezés</v>
      </c>
      <c r="D9" s="528">
        <f>Úvod!G14</f>
        <v>0</v>
      </c>
      <c r="E9" s="529"/>
      <c r="F9" s="530"/>
      <c r="G9" s="221"/>
      <c r="H9" s="221"/>
      <c r="I9" s="585" t="str">
        <f>Překlady!$A$16</f>
        <v>magasság (mm):</v>
      </c>
      <c r="J9" s="585"/>
      <c r="K9" s="585"/>
      <c r="L9" s="585"/>
      <c r="M9" s="250"/>
      <c r="N9" s="555">
        <f>M9+36</f>
        <v>36</v>
      </c>
      <c r="O9" s="556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Cím</v>
      </c>
      <c r="D11" s="528">
        <f>Úvod!G15</f>
        <v>0</v>
      </c>
      <c r="E11" s="529"/>
      <c r="F11" s="530"/>
      <c r="G11" s="221"/>
      <c r="H11" s="221"/>
      <c r="I11" s="585" t="str">
        <f>Překlady!$A$17</f>
        <v>szélesség (mm):</v>
      </c>
      <c r="J11" s="585"/>
      <c r="K11" s="585"/>
      <c r="L11" s="585"/>
      <c r="M11" s="250"/>
      <c r="N11" s="555">
        <f>M11+36</f>
        <v>36</v>
      </c>
      <c r="O11" s="556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Azonosító szám:</v>
      </c>
      <c r="D13" s="528">
        <f>Úvod!G16</f>
        <v>0</v>
      </c>
      <c r="E13" s="529"/>
      <c r="F13" s="530"/>
      <c r="G13" s="221"/>
      <c r="H13" s="221"/>
      <c r="I13" s="585" t="str">
        <f>IF(T13&lt;Q13,Překlady!A89,Překlady!$A$18)</f>
        <v>mélység (mm):</v>
      </c>
      <c r="J13" s="585"/>
      <c r="K13" s="585"/>
      <c r="L13" s="585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86">
        <f>M13</f>
        <v>0</v>
      </c>
      <c r="U13" s="586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Kontakt telefon</v>
      </c>
      <c r="D15" s="528">
        <f>Úvod!G17</f>
        <v>0</v>
      </c>
      <c r="E15" s="529"/>
      <c r="F15" s="530"/>
      <c r="G15" s="221"/>
      <c r="H15" s="221"/>
      <c r="I15" s="549" t="str">
        <f>Překlady!$A$19</f>
        <v>A mozgás iránya</v>
      </c>
      <c r="J15" s="549"/>
      <c r="K15" s="549"/>
      <c r="L15" s="549"/>
      <c r="M15" s="549"/>
      <c r="N15" s="549"/>
      <c r="O15" s="550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Kontakt e-mail</v>
      </c>
      <c r="D17" s="528">
        <f>Úvod!G18</f>
        <v>0</v>
      </c>
      <c r="E17" s="529"/>
      <c r="F17" s="530"/>
      <c r="G17" s="221"/>
      <c r="H17" s="221"/>
      <c r="I17" s="570"/>
      <c r="J17" s="570"/>
      <c r="K17" s="560"/>
      <c r="L17" s="560"/>
      <c r="M17" s="560"/>
      <c r="N17" s="560"/>
      <c r="O17" s="561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549" t="str">
        <f>Překlady!$A$20</f>
        <v>A vezetési rendszer típusa</v>
      </c>
      <c r="J19" s="549"/>
      <c r="K19" s="549"/>
      <c r="L19" s="549"/>
      <c r="M19" s="549"/>
      <c r="N19" s="549"/>
      <c r="O19" s="550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Engedmény</v>
      </c>
      <c r="D21" s="231">
        <v>0</v>
      </c>
      <c r="E21" s="245" t="str">
        <f>Překlady!$A$11</f>
        <v>Darab szám</v>
      </c>
      <c r="F21" s="231"/>
      <c r="G21" s="301"/>
      <c r="H21" s="221"/>
      <c r="I21" s="559"/>
      <c r="J21" s="559"/>
      <c r="K21" s="560"/>
      <c r="L21" s="560"/>
      <c r="M21" s="560"/>
      <c r="N21" s="560"/>
      <c r="O21" s="561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57" t="str">
        <f>Překlady!$A$12</f>
        <v>Előkészítení a redőnyt méretre?</v>
      </c>
      <c r="D23" s="558"/>
      <c r="E23" s="531"/>
      <c r="F23" s="532"/>
      <c r="G23" s="288"/>
      <c r="H23" s="221"/>
      <c r="I23" s="549" t="str">
        <f>Překlady!$A$21</f>
        <v>Szín</v>
      </c>
      <c r="J23" s="549"/>
      <c r="K23" s="549"/>
      <c r="L23" s="549"/>
      <c r="M23" s="549"/>
      <c r="N23" s="549"/>
      <c r="O23" s="550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57" t="str">
        <f>IF(VEDENI=5,IF(NAVIJENI&lt;3,Překlady!A90,Překlady!A14),Překlady!A14)</f>
        <v>Tekercselési rendszer</v>
      </c>
      <c r="D25" s="558"/>
      <c r="E25" s="531"/>
      <c r="F25" s="532"/>
      <c r="G25" s="288"/>
      <c r="H25" s="221"/>
      <c r="I25" s="571"/>
      <c r="J25" s="571"/>
      <c r="K25" s="523"/>
      <c r="L25" s="523"/>
      <c r="M25" s="523"/>
      <c r="N25" s="523"/>
      <c r="O25" s="572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8" t="str">
        <f>IF(VLOOKUP(CHYBY!$Q$6,CHYBY!$L:$N,3,FALSE)=1,"",TRIM(CONCATENATE(CHYBY!U11," ",CHYBY!U12," ",CHYBY!U13," ",CHYBY!U14," ",CHYBY!U15)))</f>
        <v/>
      </c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90"/>
    </row>
    <row r="28" spans="1:20" ht="45" customHeight="1" x14ac:dyDescent="0.2">
      <c r="C28" s="488" t="str">
        <f>VLOOKUP(CHYBY!$Q$6,CHYBY!L:M,2,FALSE)</f>
        <v/>
      </c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90"/>
    </row>
    <row r="29" spans="1:20" x14ac:dyDescent="0.2">
      <c r="C29" s="564" t="str">
        <f>Překlady!$A$22</f>
        <v>A megrendelés kódja</v>
      </c>
      <c r="D29" s="566" t="str">
        <f>Překlady!$A$23</f>
        <v>Áruválaszték</v>
      </c>
      <c r="E29" s="567"/>
      <c r="F29" s="567"/>
      <c r="G29" s="568"/>
      <c r="H29" s="566" t="str">
        <f>Překlady!$A$24</f>
        <v>Mennyiség</v>
      </c>
      <c r="I29" s="567"/>
      <c r="J29" s="539" t="str">
        <f>Překlady!$A$107</f>
        <v>ME</v>
      </c>
      <c r="K29" s="562" t="str">
        <f>Překlady!$A$25</f>
        <v>Egység ár</v>
      </c>
      <c r="L29" s="567"/>
      <c r="M29" s="562" t="str">
        <f>Překlady!$A$26</f>
        <v>Ár összesen ÁFA nélkül</v>
      </c>
      <c r="N29" s="562" t="str">
        <f>Překlady!$A$27</f>
        <v>A szállítás kódja</v>
      </c>
      <c r="O29" s="573" t="s">
        <v>1520</v>
      </c>
    </row>
    <row r="30" spans="1:20" x14ac:dyDescent="0.2">
      <c r="C30" s="565"/>
      <c r="D30" s="563"/>
      <c r="E30" s="563"/>
      <c r="F30" s="563"/>
      <c r="G30" s="569"/>
      <c r="H30" s="563"/>
      <c r="I30" s="563"/>
      <c r="J30" s="540"/>
      <c r="K30" s="563"/>
      <c r="L30" s="563"/>
      <c r="M30" s="563"/>
      <c r="N30" s="575"/>
      <c r="O30" s="574"/>
      <c r="Q30" s="205" t="s">
        <v>21</v>
      </c>
      <c r="R30" s="205" t="s">
        <v>1935</v>
      </c>
    </row>
    <row r="31" spans="1:20" ht="15.75" customHeight="1" x14ac:dyDescent="0.2">
      <c r="C31" s="536" t="str">
        <f>Překlady!$A$28</f>
        <v>Redőny profil</v>
      </c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8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03" t="str">
        <f>IF(VLOOKUP(CHYBY!$Q$6,CHYBY!$L:$N,3,FALSE)=1,"",IF(AND(VEDENI=3,BARVA=5),Překlady!A84,IF(P32=0,výpočty!AO5,CONCATENATE(výpočty!AO5," (X",P32,")"))))</f>
        <v>Redőnyprofil E23 fekete (X-9)</v>
      </c>
      <c r="E32" s="503"/>
      <c r="F32" s="503"/>
      <c r="G32" s="503"/>
      <c r="H32" s="535">
        <f>IF(VLOOKUP(CHYBY!$Q$6,CHYBY!L:N,3,FALSE)=1,"",IF(výpočty!S26=2,0,
IF(SMER=1,výpočty!AR5,výpočty!AR6)))</f>
        <v>0</v>
      </c>
      <c r="I32" s="535"/>
      <c r="J32" s="275" t="str">
        <f>IF(VLOOKUP(CHYBY!$Q$6,CHYBY!$L:$N,3,FALSE)=1,"",IF(výpočty!S26=2,0,VLOOKUP(C32,výpočty!$Z$246:$AK$508,12,0)))</f>
        <v>FM</v>
      </c>
      <c r="K32" s="533">
        <f>IF(VLOOKUP(CHYBY!$Q$6,CHYBY!$L:$N,3,FALSE)=1,"",IF(výpočty!S26=2,0,výpočty!AT5))</f>
        <v>1566.0046400000001</v>
      </c>
      <c r="L32" s="534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2142</v>
      </c>
      <c r="C33" s="277" t="str">
        <f>IF(VLOOKUP(CHYBY!$Q$6,CHYBY!$L:$N,3,FALSE)=1,"",výpočty!AQ7)</f>
        <v xml:space="preserve"> </v>
      </c>
      <c r="D33" s="504" t="str">
        <f>IF(VLOOKUP(CHYBY!$Q$6,CHYBY!$L:$N,3,FALSE)=1,"",IF(P33=0,výpočty!AO7,CONCATENATE(výpočty!AO7," (X",P33,")")))</f>
        <v xml:space="preserve"> </v>
      </c>
      <c r="E33" s="504"/>
      <c r="F33" s="504"/>
      <c r="G33" s="504"/>
      <c r="H33" s="527">
        <f>IF(VLOOKUP(CHYBY!$Q$6,CHYBY!$L:$N,3,FALSE)=1,"",IF(výpočty!S28=2,0,výpočty!AR7))</f>
        <v>0</v>
      </c>
      <c r="I33" s="527"/>
      <c r="J33" s="278">
        <f>IF(VLOOKUP(CHYBY!$Q$6,CHYBY!$L:$N,3,FALSE)=1,"",IF(výpočty!S28=2,0,VLOOKUP(C33,výpočty!$Z$246:$AK$508,12,0)))</f>
        <v>0</v>
      </c>
      <c r="K33" s="579" t="str">
        <f>IF(VLOOKUP(CHYBY!$Q$6,CHYBY!$L:$N,3,FALSE)=1,"",IF(výpočty!S28=2,0,výpočty!AT7))</f>
        <v xml:space="preserve"> </v>
      </c>
      <c r="L33" s="580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>Végző elem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R88198</v>
      </c>
      <c r="D35" s="503" t="str">
        <f>IF(VLOOKUP(CHYBY!$Q$6,CHYBY!$L:$N,3,FALSE)=1,"",IF(P35=0,VLOOKUP(C:C,výpočty!$AA$2:$AB$245,2,FALSE),CONCATENATE(VLOOKUP(C:C,výpočty!$AA$2:$AB$245,2,FALSE)," (X",P35,")")))</f>
        <v>Végzáró profil fekete (X-30)</v>
      </c>
      <c r="E35" s="503"/>
      <c r="F35" s="503"/>
      <c r="G35" s="503"/>
      <c r="H35" s="535">
        <f>IF(VLOOKUP(CHYBY!$Q$6,CHYBY!$L:$N,3,FALSE)=1,"",IF(výpočty!S32=2,0,
IF(VEDENI=3,výpočty!AR13,
IF(SMER=1,výpočty!AR11,výpočty!AR12))))</f>
        <v>0</v>
      </c>
      <c r="I35" s="535"/>
      <c r="J35" s="275" t="str">
        <f>IF(VLOOKUP(CHYBY!$Q$6,CHYBY!$L:$N,3,FALSE)=1,"",IF(výpočty!S32=2,0,VLOOKUP(C35,výpočty!$Z$246:$AK$508,12,0)))</f>
        <v>FM</v>
      </c>
      <c r="K35" s="533">
        <f>IF(VLOOKUP(CHYBY!$Q$6,CHYBY!$L:$N,3,FALSE)=1,"",IF(výpočty!S32=2,0,IF(VEDENI=3,výpočty!AT13,výpočty!AT11)))</f>
        <v>5614.7039999999997</v>
      </c>
      <c r="L35" s="534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-30</v>
      </c>
      <c r="Q35" s="205">
        <f>IF(S35=0,0,IF(SMER=1,IF('Objednávka žaluzií'!S35=1,$S$11,$S$9),IF(S35=2,$S$11,$S$9)))</f>
        <v>0</v>
      </c>
      <c r="R35" s="205">
        <f>VLOOKUP(C35,výpočty!$AA:$AM,(5+VEDENI),0)</f>
        <v>-30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2143</v>
      </c>
      <c r="C36" s="216" t="str">
        <f>IF(VLOOKUP(CHYBY!$Q$6,CHYBY!$L:$N,3,FALSE)=1,"",IF(VEDENI=3,výpočty!AQ14," "))</f>
        <v xml:space="preserve"> </v>
      </c>
      <c r="D36" s="495" t="str">
        <f>IF(VLOOKUP(CHYBY!$Q$6,CHYBY!$L:$N,3,FALSE)=1,"",IF(P36=0,
IF(VEDENI=3,výpočty!AO14," "),CONCATENATE(IF(VEDENI=3,výpočty!AO14," ")," (X",P36,")")))</f>
        <v xml:space="preserve"> </v>
      </c>
      <c r="E36" s="495"/>
      <c r="F36" s="495"/>
      <c r="G36" s="495"/>
      <c r="H36" s="494" t="str">
        <f>IF(VLOOKUP(CHYBY!$Q$6,CHYBY!$L:$N,3,FALSE)=1,"",IF(výpočty!S34=2,0,IF(VEDENI=3,výpočty!AR14," ")))</f>
        <v xml:space="preserve"> </v>
      </c>
      <c r="I36" s="494"/>
      <c r="J36" s="229">
        <f>IF(VLOOKUP(CHYBY!$Q$6,CHYBY!$L:$N,3,FALSE)=1,"",IF(výpočty!S34=2,0,VLOOKUP(C36,výpočty!$Z:$AK,12,0)))</f>
        <v>0</v>
      </c>
      <c r="K36" s="491" t="str">
        <f>IF(VLOOKUP(CHYBY!$Q$6,CHYBY!$L:$N,3,FALSE)=1,"",IF(výpočty!S34=2,0,IF(VEDENI=3,výpočty!AT14," ")))</f>
        <v xml:space="preserve"> </v>
      </c>
      <c r="L36" s="492"/>
      <c r="M36" s="365" t="str">
        <f>IF(VLOOKUP(CHYBY!$Q$6,CHYBY!$L:$N,3,FALSE)=1,"",IF(výpočty!S34=2,"",IF(VEDENI=3,výpočty!AV14,"")))</f>
        <v/>
      </c>
      <c r="N36" s="217">
        <f>IF(VLOOKUP(CHYBY!$Q$6,CHYBY!$L:$N,3,FALSE)=1,"",IF(výpočty!S34=2,0,VLOOKUP(C36,výpočty!$Z$246:$AJ$508,11,0)))</f>
        <v>0</v>
      </c>
      <c r="O36" s="298"/>
      <c r="P36" s="218">
        <f>IF(výpočty!S34=2,0,IF(PRIPRAVA=1,Q36+R36,0))</f>
        <v>0</v>
      </c>
      <c r="Q36" s="205">
        <f>IF(S36=0,0,IF(SMER=1,IF('Objednávka žaluzií'!S36=1,$S$11,$S$9),IF(S36=2,$S$11,$S$9)))</f>
        <v>0</v>
      </c>
      <c r="R36" s="205">
        <f>VLOOKUP(C36,výpočty!$AA:$AM,(5+VEDENI),0)</f>
        <v>0</v>
      </c>
      <c r="S36" s="205">
        <f>VLOOKUP('Objednávka žaluzií'!C36,výpočty!$AA:$AM,11,0)</f>
        <v>0</v>
      </c>
    </row>
    <row r="37" spans="1:23" ht="15.75" customHeight="1" x14ac:dyDescent="0.2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R95974</v>
      </c>
      <c r="D37" s="495" t="str">
        <f>IF(VLOOKUP(CHYBY!$Q$6,CHYBY!$L:$N,3,FALSE)=1,"",VLOOKUP(C:C,výpočty!$AA$2:$AB$245,2,FALSE))</f>
        <v>Csúszka 8 mm fékkel fekete</v>
      </c>
      <c r="E37" s="495"/>
      <c r="F37" s="495"/>
      <c r="G37" s="495"/>
      <c r="H37" s="494">
        <f>IF(VLOOKUP(CHYBY!$Q$6,CHYBY!$L:$N,3,FALSE)=1,"",IF(výpočty!S36=2,0,IF(VEDENI=3,výpočty!AR15,výpočty!AR16)))</f>
        <v>0</v>
      </c>
      <c r="I37" s="494"/>
      <c r="J37" s="229" t="str">
        <f>IF(VLOOKUP(CHYBY!$Q$6,CHYBY!$L:$N,3,FALSE)=1,"",IF(výpočty!S36=2,0,VLOOKUP(C37,výpočty!$Z$246:$AK$508,12,0)))</f>
        <v>PÁR</v>
      </c>
      <c r="K37" s="491">
        <f>IF(VLOOKUP(CHYBY!$Q$6,CHYBY!$L:$N,3,FALSE)=1,"",
IF(výpočty!S36=2,0,
IF(VEDENI=3,výpočty!AT15,výpočty!AT16)))</f>
        <v>1490.21471</v>
      </c>
      <c r="L37" s="492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493">
        <f>IF(VLOOKUP(CHYBY!$Q$6,CHYBY!$L:$N,3,FALSE)=1,"",VLOOKUP(C38,výpočty!$AA$240:$AD$242,2,0))</f>
        <v>0</v>
      </c>
      <c r="E38" s="493"/>
      <c r="F38" s="493"/>
      <c r="G38" s="493"/>
      <c r="H38" s="494">
        <f>IF(VLOOKUP(CHYBY!$Q$6,CHYBY!$L:$N,3,FALSE)=1,"",IF(výpočty!S60=2,0,IF(C38=výpočty!AA242,2*'Objednávka žaluzií'!F21,0)))</f>
        <v>0</v>
      </c>
      <c r="I38" s="494"/>
      <c r="J38" s="229">
        <f>IF(VLOOKUP(CHYBY!$Q$6,CHYBY!$L:$N,3,FALSE)=1,"",IF(výpočty!S60=2,0,VLOOKUP(C38,výpočty!$Z$246:$AK$508,12,0)))</f>
        <v>0</v>
      </c>
      <c r="K38" s="491">
        <f>IF(VLOOKUP(CHYBY!$Q$6,CHYBY!$L:$N,3,FALSE)=1,"",IF(výpočty!S60=2,0,VLOOKUP(C38,výpočty!$AA$240:$AD$242,3,0)))</f>
        <v>0</v>
      </c>
      <c r="L38" s="492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1" t="str">
        <f>IF(VLOOKUP(CHYBY!$Q$6,CHYBY!$L:$N,3,FALSE)=1,"",IF(P39=0,T39,
IF(T39=0,0,CONCATENATE(T39," (X",P39,")"))))</f>
        <v>Közép fogantyú profil C3 - uni fekete (X-9)</v>
      </c>
      <c r="E39" s="542"/>
      <c r="F39" s="542"/>
      <c r="G39" s="543"/>
      <c r="H39" s="527">
        <f>IF(VLOOKUP(CHYBY!$Q$6,CHYBY!$L:$N,3,FALSE)=1,"",IF(výpočty!S62=2,0,IF(C39=" ",0,IF(C39=0,0,IF(VEDENI=3,výpočty!AR13,IF(SMER=1,výpočty!AR11,výpočty!AR12))))))</f>
        <v>0</v>
      </c>
      <c r="I39" s="527"/>
      <c r="J39" s="278" t="str">
        <f>IF(VLOOKUP(CHYBY!$Q$6,CHYBY!$L:$N,3,FALSE)=1,"",IF(výpočty!S62=2,0,VLOOKUP(C39,výpočty!Z247:AK508,12,0)))</f>
        <v>FM</v>
      </c>
      <c r="K39" s="579">
        <f>IF(VLOOKUP(CHYBY!$Q$6,CHYBY!$L:$N,3,FALSE)=1,"",IF(výpočty!S62=2,0,VLOOKUP(C39,výpočty!AA3:AC242,3,0)))</f>
        <v>3425.3617199999999</v>
      </c>
      <c r="L39" s="580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3" t="str">
        <f>VLOOKUP(C39,výpočty!AA3:AB242,2,0)</f>
        <v>Közép fogantyú profil C3 - uni fekete</v>
      </c>
      <c r="U39" s="493"/>
      <c r="V39" s="493"/>
      <c r="W39" s="493"/>
    </row>
    <row r="40" spans="1:23" ht="15.75" customHeight="1" x14ac:dyDescent="0.2">
      <c r="C40" s="370" t="str">
        <f>Překlady!$A$30</f>
        <v>Takaró léc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R95793</v>
      </c>
      <c r="D41" s="503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Takaró profil uni fekete (X-26)</v>
      </c>
      <c r="E41" s="503"/>
      <c r="F41" s="503"/>
      <c r="G41" s="503"/>
      <c r="H41" s="535">
        <f>IF(VLOOKUP(CHYBY!$Q$6,CHYBY!$L:$N,3,FALSE)=1,"",IF(výpočty!S39=2,0,IF(VEDENI=3,výpočty!AR24,IF(VEDENI=5,výpočty!AR26,IF(SMER=1,výpočty!AR22,výpočty!AR23)))))</f>
        <v>0</v>
      </c>
      <c r="I41" s="535"/>
      <c r="J41" s="275" t="str">
        <f>IF(VLOOKUP(CHYBY!$Q$6,CHYBY!$L:$N,3,FALSE)=1,"",IF(výpočty!S39=2,0,VLOOKUP(C41,výpočty!$Z$246:$AK$508,12,0)))</f>
        <v>FM</v>
      </c>
      <c r="K41" s="533">
        <f>IF(VLOOKUP(CHYBY!$Q$6,CHYBY!$L:$N,3,FALSE)=1,"",IF(výpočty!S39=2,0,IF(C41=výpočty!AA39,výpočty!AC39,(IF(VEDENI=3,výpočty!AT24,IF(VEDENI=5,výpočty!AT26,výpočty!AT22))))))</f>
        <v>3708.7543999999998</v>
      </c>
      <c r="L41" s="534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-26</v>
      </c>
      <c r="Q41" s="205">
        <f>IF(S41=0,0,IF(SMER=1,IF('Objednávka žaluzií'!S41=1,$S$11,$S$9),IF(S41=2,$S$11,$S$9)))</f>
        <v>0</v>
      </c>
      <c r="R41" s="205">
        <f>VLOOKUP(C41,výpočty!$AA:$AM,(5+VEDENI),0)</f>
        <v>-26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R95793</v>
      </c>
    </row>
    <row r="42" spans="1:23" ht="15.75" customHeight="1" x14ac:dyDescent="0.2">
      <c r="A42" s="205" t="s">
        <v>2147</v>
      </c>
      <c r="C42" s="277" t="str">
        <f>IF(VLOOKUP(CHYBY!$Q$6,CHYBY!$L:$N,3,FALSE)=1,"",IF(VEDENI=3,výpočty!AQ25," "))</f>
        <v xml:space="preserve"> </v>
      </c>
      <c r="D42" s="504" t="str">
        <f>IF(VLOOKUP(CHYBY!$Q$6,CHYBY!$L:$N,3,FALSE)=1,"",IF(P42=0,
IF(VEDENI=3,výpočty!AO25," "),CONCATENATE(IF(VEDENI=3,výpočty!AO25," ")," (X",P42,")")))</f>
        <v xml:space="preserve"> </v>
      </c>
      <c r="E42" s="504"/>
      <c r="F42" s="504"/>
      <c r="G42" s="504"/>
      <c r="H42" s="527" t="str">
        <f>IF(VLOOKUP(CHYBY!$Q$6,CHYBY!$L:$N,3,FALSE)=1,"",IF(výpočty!S41=2,0,IF(VEDENI=3,výpočty!AR25," ")))</f>
        <v xml:space="preserve"> </v>
      </c>
      <c r="I42" s="527"/>
      <c r="J42" s="278">
        <f>IF(VLOOKUP(CHYBY!$Q$6,CHYBY!$L:$N,3,FALSE)=1,"",IF(výpočty!S41=2,0,VLOOKUP(C42,výpočty!$Z$246:$AK$508,12,0)))</f>
        <v>0</v>
      </c>
      <c r="K42" s="579" t="str">
        <f>IF(VLOOKUP(CHYBY!$Q$6,CHYBY!$L:$N,3,FALSE)=1,"",IF(výpočty!S41=2,0,IF(VEDENI=3,výpočty!AT25," ")))</f>
        <v xml:space="preserve"> </v>
      </c>
      <c r="L42" s="580"/>
      <c r="M42" s="369" t="str">
        <f>IF(VLOOKUP(CHYBY!$Q$6,CHYBY!$L:$N,3,FALSE)=1,"",IF(výpočty!S41=2,"",IF(VEDENI=3,výpočty!AV25,"")))</f>
        <v/>
      </c>
      <c r="N42" s="279">
        <f>IF(VLOOKUP(CHYBY!$Q$6,CHYBY!$L:$N,3,FALSE)=1,"",IF(výpočty!S41=2,0,VLOOKUP(C42,výpočty!$Z$246:$AJ$508,11,0)))</f>
        <v>0</v>
      </c>
      <c r="O42" s="297"/>
      <c r="P42" s="218">
        <f>IF(výpočty!S41=2,0,IF(PRIPRAVA=1,Q42+R42,0))</f>
        <v>0</v>
      </c>
      <c r="Q42" s="205">
        <f>IF(S42=0,0,IF(SMER=1,IF('Objednávka žaluzií'!S42=1,$S$11,$S$9),IF(S42=2,$S$11,$S$9)))</f>
        <v>0</v>
      </c>
      <c r="R42" s="205">
        <f>VLOOKUP(C42,výpočty!$AA:$AM,(5+VEDENI),0)</f>
        <v>0</v>
      </c>
      <c r="S42" s="205">
        <f>VLOOKUP('Objednávka žaluzií'!C42,výpočty!$AA:$AM,11,0)</f>
        <v>0</v>
      </c>
    </row>
    <row r="43" spans="1:23" ht="15.75" customHeight="1" x14ac:dyDescent="0.2">
      <c r="C43" s="370" t="str">
        <f>Překlady!$A$31</f>
        <v>Vezető profil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3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Vezető profil csavarozható fekete (X-49)</v>
      </c>
      <c r="E44" s="503"/>
      <c r="F44" s="503"/>
      <c r="G44" s="503"/>
      <c r="H44" s="535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5"/>
      <c r="J44" s="275" t="str">
        <f>IF(VLOOKUP(CHYBY!$Q$6,CHYBY!$L:$N,3,FALSE)=1,"",IF(výpočty!S43=2,0,VLOOKUP(C44,výpočty!$Z$246:$AK$508,12,0)))</f>
        <v>FM</v>
      </c>
      <c r="K44" s="534">
        <f>IF(VLOOKUP(CHYBY!$Q$6,CHYBY!$L:$N,3,FALSE)=1,"",IF(výpočty!S43=2,0,IF(VEDENI=2,IF(NAVIJENI=3," ",výpočty!AT41),IF(VEDENI=5," ",IF(VEDENI&gt;2,IF(NAVIJENI&gt;1," ",výpočty!AT30),výpočty!AT30)))))</f>
        <v>1665.58718</v>
      </c>
      <c r="L44" s="534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-49</v>
      </c>
      <c r="Q44" s="205">
        <f>IF(S44=0,0,IF(SMER=1,IF('Objednávka žaluzií'!S44=1,$S$11,$S$9),IF(S44=2,$S$11,$S$9)))</f>
        <v>0</v>
      </c>
      <c r="R44" s="205" t="str">
        <f>VLOOKUP(C44,výpočty!$AA:$AM,(5+VEDENI),0)</f>
        <v>-49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2148</v>
      </c>
      <c r="C45" s="216" t="str">
        <f>IF(VLOOKUP(CHYBY!$Q$6,CHYBY!$L:$N,3,FALSE)=1,"",IF(C25=Překlady!A90,"chyba",
IF(VEDENI&gt;2,výpočty!AQ52," ")))</f>
        <v xml:space="preserve"> </v>
      </c>
      <c r="D45" s="493" t="str">
        <f>IF(VLOOKUP(CHYBY!$Q$6,CHYBY!$L:$N,3,FALSE)=1,"",IF(P45=0,IF(VEDENI&gt;2,výpočty!AO52," "),CONCATENATE(IF(VEDENI&gt;2,výpočty!AO52," ")," (X",P45,")")))</f>
        <v xml:space="preserve"> </v>
      </c>
      <c r="E45" s="493"/>
      <c r="F45" s="493"/>
      <c r="G45" s="493"/>
      <c r="H45" s="581" t="str">
        <f>IF(VLOOKUP(CHYBY!$Q$6,CHYBY!$L:$N,3,FALSE)=1,"",IF(výpočty!S45=2,0,IF(VEDENI&gt;2,výpočty!AR52," ")))</f>
        <v xml:space="preserve"> </v>
      </c>
      <c r="I45" s="581"/>
      <c r="J45" s="229">
        <f>IF(VLOOKUP(CHYBY!$Q$6,CHYBY!$L:$N,3,FALSE)=1,"",IF(výpočty!S45=2,0,VLOOKUP(C45,výpočty!$Z$246:$AK$508,12,0)))</f>
        <v>0</v>
      </c>
      <c r="K45" s="544" t="str">
        <f>IF(VLOOKUP(CHYBY!$Q$6,CHYBY!$L:$N,3,FALSE)=1,"",IF(výpočty!S45=2,0,IF(VEDENI&gt;2,výpočty!AT52," ")))</f>
        <v xml:space="preserve"> </v>
      </c>
      <c r="L45" s="544"/>
      <c r="M45" s="365" t="str">
        <f>IF(VLOOKUP(CHYBY!$Q$6,CHYBY!$L:$N,3,FALSE)=1,"",IF(C25=Překlady!A90,D45,IF(výpočty!S45=2,"",IF(VEDENI&gt;2,výpočty!AV52,""))))</f>
        <v/>
      </c>
      <c r="N45" s="217">
        <f>IF(VLOOKUP(CHYBY!$Q$6,CHYBY!$L:$N,3,FALSE)=1,"",IF(výpočty!S45=2,0,VLOOKUP(C45,výpočty!$Z$246:$AJ$508,11,0)))</f>
        <v>0</v>
      </c>
      <c r="O45" s="297"/>
      <c r="P45" s="218">
        <f>IF(výpočty!S45=2,0,IF(PRIPRAVA=1,Q45+R45,0))</f>
        <v>0</v>
      </c>
      <c r="Q45" s="205">
        <f>IF(S45=0,0,IF(SMER=1,IF('Objednávka žaluzií'!S45=1,$S$11,$S$9),IF(S45=2,$S$11,$S$9)))</f>
        <v>0</v>
      </c>
      <c r="R45" s="205">
        <f>VLOOKUP(C45,výpočty!$AA:$AM,(5+VEDENI),0)</f>
        <v>0</v>
      </c>
      <c r="S45" s="205">
        <f>VLOOKUP('Objednávka žaluzií'!C45,výpočty!$AA:$AM,11,0)</f>
        <v>0</v>
      </c>
    </row>
    <row r="46" spans="1:23" ht="15.75" customHeight="1" x14ac:dyDescent="0.2">
      <c r="A46" s="205" t="s">
        <v>2149</v>
      </c>
      <c r="C46" s="338" t="str">
        <f>IF(VLOOKUP(CHYBY!$Q$6,CHYBY!$L:$N,3,FALSE)=1,"",IF(VEDENI&gt;2,výpočty!AQ53," "))</f>
        <v xml:space="preserve"> </v>
      </c>
      <c r="D46" s="493" t="str">
        <f>IF(VLOOKUP(CHYBY!$Q$6,CHYBY!$L:$N,3,FALSE)=1,"",IF(P46=0,IF(VEDENI&gt;2,výpočty!AO53," "),CONCATENATE(IF(VEDENI&gt;2,výpočty!AO53," ")," (X",P46,")")))</f>
        <v xml:space="preserve"> </v>
      </c>
      <c r="E46" s="493"/>
      <c r="F46" s="493"/>
      <c r="G46" s="493"/>
      <c r="H46" s="581" t="str">
        <f>IF(VLOOKUP(CHYBY!$Q$6,CHYBY!$L:$N,3,FALSE)=1,"",IF(výpočty!S47=2,0,IF(VEDENI&gt;2,výpočty!AR53," ")))</f>
        <v xml:space="preserve"> </v>
      </c>
      <c r="I46" s="581"/>
      <c r="J46" s="229">
        <f>IF(VLOOKUP(CHYBY!$Q$6,CHYBY!$L:$N,3,FALSE)=1,"",IF(výpočty!S47=2,0,VLOOKUP(C46,výpočty!$Z$246:$AK$508,12,0)))</f>
        <v>0</v>
      </c>
      <c r="K46" s="544" t="str">
        <f>IF(VLOOKUP(CHYBY!$Q$6,CHYBY!$L:$N,3,FALSE)=1,"",IF(výpočty!S47=2,0,IF(VEDENI&gt;2,výpočty!AT53," ")))</f>
        <v xml:space="preserve"> </v>
      </c>
      <c r="L46" s="544"/>
      <c r="M46" s="365" t="str">
        <f>IF(VLOOKUP(CHYBY!$Q$6,CHYBY!$L:$N,3,FALSE)=1,"",IF(výpočty!S47=2,"",IF(VEDENI&gt;2,výpočty!AV53,"")))</f>
        <v/>
      </c>
      <c r="N46" s="217">
        <f>IF(VLOOKUP(CHYBY!$Q$6,CHYBY!$L:$N,3,FALSE)=1,"",IF(výpočty!S47=2,0,VLOOKUP(C46,výpočty!$Z$246:$AJ$508,11,0)))</f>
        <v>0</v>
      </c>
      <c r="O46" s="297"/>
      <c r="P46" s="218">
        <f>IF(výpočty!S47=2,0,IF(PRIPRAVA=1,Q46+R46,0))</f>
        <v>0</v>
      </c>
      <c r="Q46" s="205">
        <f>IF(S46=0,0,IF(SMER=1,IF('Objednávka žaluzií'!S46=1,$S$11,$S$9),IF(S46=2,$S$11,$S$9)))</f>
        <v>0</v>
      </c>
      <c r="R46" s="205">
        <f>VLOOKUP(C46,výpočty!$AA:$AM,(5+VEDENI),0)</f>
        <v>0</v>
      </c>
      <c r="S46" s="205">
        <f>VLOOKUP('Objednávka žaluzií'!C46,výpočty!$AA:$AM,11,0)</f>
        <v>0</v>
      </c>
    </row>
    <row r="47" spans="1:23" ht="15.75" customHeight="1" x14ac:dyDescent="0.2">
      <c r="A47" s="205" t="s">
        <v>2150</v>
      </c>
      <c r="C47" s="216" t="str">
        <f>IF(VLOOKUP(CHYBY!$Q$6,CHYBY!$L:$N,3,FALSE)=1,"",IF(VEDENI&gt;2,výpočty!AQ54," "))</f>
        <v xml:space="preserve"> </v>
      </c>
      <c r="D47" s="493" t="str">
        <f>IF(VLOOKUP(CHYBY!$Q$6,CHYBY!$L:$N,3,FALSE)=1,"",IF(P47=0,IF(VEDENI&gt;2,výpočty!AO54," "),CONCATENATE(IF(VEDENI&gt;2,výpočty!AO54," ")," (X",P47,")")))</f>
        <v xml:space="preserve"> </v>
      </c>
      <c r="E47" s="493"/>
      <c r="F47" s="493"/>
      <c r="G47" s="493"/>
      <c r="H47" s="581" t="str">
        <f>IF(VLOOKUP(CHYBY!$Q$6,CHYBY!$L:$N,3,FALSE)=1,"",IF(výpočty!S49=2,0,IF(VEDENI&gt;2,výpočty!AR54," ")))</f>
        <v xml:space="preserve"> </v>
      </c>
      <c r="I47" s="581"/>
      <c r="J47" s="229">
        <f>IF(VLOOKUP(CHYBY!$Q$6,CHYBY!$L:$N,3,FALSE)=1,"",IF(výpočty!S49=2,0,VLOOKUP(C47,výpočty!$Z$246:$AK$508,12,0)))</f>
        <v>0</v>
      </c>
      <c r="K47" s="544" t="str">
        <f>IF(VLOOKUP(CHYBY!$Q$6,CHYBY!$L:$N,3,FALSE)=1,"",IF(výpočty!S49=2,0,IF(VEDENI&gt;2,výpočty!AT54," ")))</f>
        <v xml:space="preserve"> </v>
      </c>
      <c r="L47" s="544"/>
      <c r="M47" s="365" t="str">
        <f>IF(VLOOKUP(CHYBY!$Q$6,CHYBY!$L:$N,3,FALSE)=1,"",IF(výpočty!S49=2,"",IF(VEDENI&gt;2,výpočty!AV54,"")))</f>
        <v/>
      </c>
      <c r="N47" s="217">
        <f>IF(VLOOKUP(CHYBY!$Q$6,CHYBY!$L:$N,3,FALSE)=1,"",IF(výpočty!S49=2,0,VLOOKUP(C47,výpočty!$Z$246:$AJ$508,11,0)))</f>
        <v>0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493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3"/>
      <c r="F48" s="493"/>
      <c r="G48" s="493"/>
      <c r="H48" s="494">
        <f>IF(VLOOKUP(CHYBY!$Q$6,CHYBY!$L:$N,3,FALSE)=1,"",IF(výpočty!S55=2,0,IF(C48=0,0,IF(VEDENI&gt;2,výpočty!AR54," "))))</f>
        <v>0</v>
      </c>
      <c r="I48" s="494"/>
      <c r="J48" s="229">
        <f>IF(VLOOKUP(CHYBY!$Q$6,CHYBY!$L:$N,3,FALSE)=1,"",IF(výpočty!S55=2,0,VLOOKUP(C48,výpočty!$Z$246:$AK$508,12,0)))</f>
        <v>0</v>
      </c>
      <c r="K48" s="491">
        <f>IF(VLOOKUP(CHYBY!$Q$6,CHYBY!$L:$N,3,FALSE)=1,"",IF(C48=0,0,IF(výpočty!S55=2,0,VLOOKUP(C48,výpočty!AA235:AD236,3,0))))</f>
        <v>0</v>
      </c>
      <c r="L48" s="492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R88209</v>
      </c>
      <c r="D49" s="496" t="str">
        <f>IF(VLOOKUP(CHYBY!$Q$6,CHYBY!$L:$N,3,FALSE)=1,"",IF(C49=výpočty!AA173,výpočty!AB173,AJ49))</f>
        <v>Vezető profil sarok csavarozható fekete</v>
      </c>
      <c r="E49" s="497"/>
      <c r="F49" s="497"/>
      <c r="G49" s="221"/>
      <c r="H49" s="494">
        <f>IF(VLOOKUP(CHYBY!$Q$6,CHYBY!$L:$N,3,FALSE)=1,"",IF(AI49=Překlady!A84,Překlady!A84,IF(výpočty!S51=2,0,IF(NAVIJENI=1,4*$F$21,1*$F$21))))</f>
        <v>0</v>
      </c>
      <c r="I49" s="494"/>
      <c r="J49" s="229" t="str">
        <f>IF(VLOOKUP(CHYBY!$Q$6,CHYBY!$L:$N,3,FALSE)=1,"",IF(výpočty!S51=2,0,VLOOKUP(AI49,výpočty!$Z$246:$AK$508,12,0)))</f>
        <v>DB</v>
      </c>
      <c r="K49" s="491">
        <f>IF(VLOOKUP(CHYBY!$Q$6,CHYBY!$L:$N,3,FALSE)=1,"",IF(výpočty!S51=2,0,IF(NAVIJENI=1,IF(VEDENI=1,výpočty!AT31,IF(VEDENI=2,výpočty!AT42,výpočty!AT56)),IF(NAVIJENI=2,IF(VEDENI&lt;3,výpočty!AT35,výpočty!AT55),výpočty!AT36))))</f>
        <v>474.48766999999998</v>
      </c>
      <c r="L49" s="492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0" t="str">
        <f>IF(NAVIJENI=1,IF(VEDENI=1,výpočty!AO31,IF(VEDENI=2,výpočty!AO42,výpočty!AO56)),IF(NAVIJENI=2,IF(VEDENI&lt;3,výpočty!AO35,výpočty!AO55),výpočty!AO36))</f>
        <v>Vezető profil sarok csavarozható fekete</v>
      </c>
      <c r="U49" s="560"/>
      <c r="V49" s="560"/>
      <c r="W49" s="560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Vezető profil sarok csavarozható fekete</v>
      </c>
      <c r="Y49" s="205" t="str">
        <f>IF(NAVIJENI=1,IF(VEDENI=1,výpočty!AQ31,IF(VEDENI=2,výpočty!AQ42,výpočty!AQ56)),IF(NAVIJENI=2,IF(VEDENI&lt;3,výpočty!AQ35,výpočty!AQ55),výpočty!AQ36))</f>
        <v>R88209</v>
      </c>
      <c r="Z49" s="582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Vezető profil sarok csavarozható fekete</v>
      </c>
      <c r="AA49" s="582"/>
      <c r="AB49" s="582"/>
      <c r="AC49" s="582"/>
      <c r="AD49" s="205" t="str">
        <f>IF(VEDENI=1,IF(NAVIJENI=2,Překlady!B93,Z49),Z49)</f>
        <v>Vezető profil sarok csavarozható fekete</v>
      </c>
      <c r="AI49" s="216" t="str">
        <f>IF(VEDENI=1,IF(NAVIJENI=2,Překlady!A84,'Objednávka žaluzií'!Y49),'Objednávka žaluzií'!Y49)</f>
        <v>R88209</v>
      </c>
      <c r="AJ49" s="496" t="str">
        <f>IF(P49=0,IF(VEDENI=1,IF(NAVIJENI=2,Překlady!B93,Z49),Z49),CONCATENATE(IF(VEDENI=1,IF(NAVIJENI=2,Překlady!B93,Z49),Z49)," (X",P49,")"))</f>
        <v>Vezető profil sarok csavarozható fekete</v>
      </c>
      <c r="AK49" s="497"/>
      <c r="AL49" s="497"/>
      <c r="AM49" s="578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493">
        <f>IF(VLOOKUP(CHYBY!$Q$6,CHYBY!$L:$N,3,FALSE)=1,"",IF(P50=0,IF(C50=výpočty!AA234,výpočty!AB234,0),CONCATENATE(IF(C50=výpočty!AA234,výpočty!AB234,0)," (X",P50,")")))</f>
        <v>0</v>
      </c>
      <c r="E50" s="493"/>
      <c r="F50" s="493"/>
      <c r="G50" s="493"/>
      <c r="H50" s="494">
        <f>IF(VLOOKUP(CHYBY!$Q$6,CHYBY!$L:$N,3,FALSE)=1,"",IF(výpočty!S53=2,0,IF(C50=výpočty!AA234,F21,0)))</f>
        <v>0</v>
      </c>
      <c r="I50" s="494"/>
      <c r="J50" s="229">
        <f>IF(VLOOKUP(CHYBY!$Q$6,CHYBY!$L:$N,3,FALSE)=1,"",IF(výpočty!S53=2,0,VLOOKUP(C50,výpočty!$Z$246:$AK$508,12,0)))</f>
        <v>0</v>
      </c>
      <c r="K50" s="491">
        <f>IF(VLOOKUP(CHYBY!$Q$6,CHYBY!$L:$N,3,FALSE)=1,"",IF(výpočty!S53=2,0,IF(C50=výpočty!AA234,výpočty!AC234,0)))</f>
        <v>0</v>
      </c>
      <c r="L50" s="492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00"/>
      <c r="E51" s="500"/>
      <c r="F51" s="500"/>
      <c r="G51" s="500"/>
      <c r="H51" s="527"/>
      <c r="I51" s="527"/>
      <c r="J51" s="278"/>
      <c r="K51" s="501"/>
      <c r="L51" s="502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Ragasztó szalag a redőnyök aláragasztására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2152</v>
      </c>
      <c r="C53" s="216" t="str">
        <f>IF(VLOOKUP(CHYBY!$Q$6,CHYBY!$L:$N,3,FALSE)=1,"",IF(výpočty!X22=1,výpočty!AA239,výpočty!AA238))</f>
        <v>R95879M</v>
      </c>
      <c r="D53" s="493" t="str">
        <f>IF(VLOOKUP(CHYBY!$Q$6,CHYBY!$L:$N,3,FALSE)=1,"",IF(C53=0,0,VLOOKUP('Objednávka žaluzií'!C53,výpočty!$AA$238:$AD$239,2,0)))</f>
        <v>RAGASZTÓ SZALAG REDŐNYÖK RAGASZT.</v>
      </c>
      <c r="E53" s="493"/>
      <c r="F53" s="493"/>
      <c r="G53" s="493"/>
      <c r="H53" s="494">
        <f>IF(VLOOKUP(CHYBY!$Q$6,CHYBY!$L:$N,3,FALSE)=1,"",IF(výpočty!S54=2,0,IF(C53=výpočty!AA238,1,IF('Objednávka žaluzií'!C53=výpočty!AA239,(V53*F21),0))))</f>
        <v>0</v>
      </c>
      <c r="I53" s="494"/>
      <c r="J53" s="229" t="str">
        <f>IF(VLOOKUP(CHYBY!$Q$6,CHYBY!$L:$N,3,FALSE)=1,"",IF(výpočty!S54=2,0,VLOOKUP(C53,výpočty!$Z$246:$AK$508,12,0)))</f>
        <v>FM</v>
      </c>
      <c r="K53" s="491">
        <f>IF(VLOOKUP(CHYBY!$Q$6,CHYBY!$L:$N,3,FALSE)=1,"",IF(výpočty!S54=2,0,IF(C53=0,0,VLOOKUP(C53,výpočty!$AA$238:$AD$239,3,0))))</f>
        <v>263.61946999999998</v>
      </c>
      <c r="L53" s="492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A méretre való előkészítés díja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2153</v>
      </c>
      <c r="C55" s="220" t="str">
        <f>IF(VLOOKUP(CHYBY!$Q$6,CHYBY!$L:$N,3,FALSE)=1,"",IF(výpočty!X22=1,výpočty!AA237,0))</f>
        <v>R99999</v>
      </c>
      <c r="D55" s="513" t="str">
        <f>IF(VLOOKUP(CHYBY!$Q$6,CHYBY!$L:$N,3,FALSE)=1,"",IF(C55=výpočty!AA237,výpočty!AB237,0))</f>
        <v>Felár a redőny méretre készítéséért</v>
      </c>
      <c r="E55" s="514"/>
      <c r="F55" s="514"/>
      <c r="G55" s="515"/>
      <c r="H55" s="505">
        <f>IF(VLOOKUP(CHYBY!$Q$6,CHYBY!$L:$N,3,FALSE)=1,"",IF(C55=výpočty!AA237,F21,0))</f>
        <v>0</v>
      </c>
      <c r="I55" s="506"/>
      <c r="J55" s="230" t="str">
        <f>IF(VLOOKUP(CHYBY!$Q$6,CHYBY!$L:$N,3,FALSE)=1,"",IF(výpočty!S50=2,0,VLOOKUP(C55,výpočty!$Z$246:$AK$508,12,0)))</f>
        <v>DB</v>
      </c>
      <c r="K55" s="524">
        <f>IF(VLOOKUP(CHYBY!$Q$6,CHYBY!$L:$N,3,FALSE)=1,"",IF(C55=výpočty!AA237,výpočty!AC237,0))</f>
        <v>2800</v>
      </c>
      <c r="L55" s="524"/>
      <c r="M55" s="302">
        <f>IF(VLOOKUP(CHYBY!$Q$6,CHYBY!$L:$N,3,FALSE)=1,"",H55*K55)</f>
        <v>0</v>
      </c>
      <c r="N55" s="525"/>
      <c r="O55" s="526"/>
    </row>
    <row r="56" spans="1:39" ht="8.25" customHeight="1" x14ac:dyDescent="0.2">
      <c r="C56" s="222"/>
      <c r="D56" s="221"/>
      <c r="E56" s="221"/>
      <c r="F56" s="523"/>
      <c r="G56" s="523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17" t="str">
        <f>Překlady!$A$33</f>
        <v>Összesen ÁFA nélkül</v>
      </c>
      <c r="D57" s="518"/>
      <c r="E57" s="518"/>
      <c r="F57" s="518"/>
      <c r="G57" s="518"/>
      <c r="H57" s="518"/>
      <c r="I57" s="518"/>
      <c r="J57" s="518"/>
      <c r="K57" s="518"/>
      <c r="L57" s="519"/>
      <c r="M57" s="618">
        <f>IFERROR(SUM(M32:M55),Překlady!A84)</f>
        <v>0</v>
      </c>
      <c r="N57" s="619"/>
      <c r="O57" s="620"/>
      <c r="P57" s="373"/>
    </row>
    <row r="58" spans="1:39" ht="8.25" customHeight="1" x14ac:dyDescent="0.2">
      <c r="C58" s="222"/>
      <c r="D58" s="221"/>
      <c r="E58" s="221"/>
      <c r="F58" s="523"/>
      <c r="G58" s="523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20" t="str">
        <f>Překlady!$A$9</f>
        <v>Megjegyzések</v>
      </c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8"/>
    </row>
    <row r="60" spans="1:39" ht="11.25" customHeight="1" x14ac:dyDescent="0.2">
      <c r="C60" s="521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10"/>
    </row>
    <row r="61" spans="1:39" ht="11.25" customHeight="1" x14ac:dyDescent="0.2">
      <c r="C61" s="521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10"/>
    </row>
    <row r="62" spans="1:39" ht="11.25" customHeight="1" x14ac:dyDescent="0.2">
      <c r="C62" s="521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10"/>
    </row>
    <row r="63" spans="1:39" ht="11.25" customHeight="1" x14ac:dyDescent="0.2">
      <c r="C63" s="521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10"/>
    </row>
    <row r="64" spans="1:39" ht="11.25" customHeight="1" x14ac:dyDescent="0.2">
      <c r="C64" s="521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10"/>
    </row>
    <row r="65" spans="3:15" ht="11.25" customHeight="1" x14ac:dyDescent="0.2">
      <c r="C65" s="521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10"/>
    </row>
    <row r="66" spans="3:15" ht="11.25" customHeight="1" x14ac:dyDescent="0.2">
      <c r="C66" s="521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10"/>
    </row>
    <row r="67" spans="3:15" ht="11.25" customHeight="1" x14ac:dyDescent="0.2">
      <c r="C67" s="522"/>
      <c r="D67" s="511"/>
      <c r="E67" s="511"/>
      <c r="F67" s="511"/>
      <c r="G67" s="511"/>
      <c r="H67" s="511"/>
      <c r="I67" s="511"/>
      <c r="J67" s="511"/>
      <c r="K67" s="511"/>
      <c r="L67" s="511"/>
      <c r="M67" s="511"/>
      <c r="N67" s="511"/>
      <c r="O67" s="512"/>
    </row>
    <row r="68" spans="3:15" ht="22.5" customHeight="1" x14ac:dyDescent="0.2">
      <c r="C68" s="498" t="str">
        <f>Překlady!$A$103</f>
        <v>A szerelési útmutató megtalálható a honlapunkon www.demos24plus.com</v>
      </c>
      <c r="D68" s="499"/>
      <c r="E68" s="499"/>
      <c r="F68" s="499"/>
      <c r="G68" s="499"/>
      <c r="H68" s="499"/>
      <c r="I68" s="499"/>
      <c r="J68" s="499"/>
      <c r="K68" s="499"/>
      <c r="L68" s="499"/>
      <c r="M68" s="516" t="s">
        <v>1532</v>
      </c>
      <c r="N68" s="516"/>
      <c r="O68" s="516"/>
    </row>
    <row r="69" spans="3:15" ht="11.25" customHeight="1" x14ac:dyDescent="0.2">
      <c r="C69" s="239" t="str">
        <f>Překlady!$A$105</f>
        <v>Ver. 25.02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Az árak ÁFa nélül vannak megadva, hatályban , 06.01.2025</v>
      </c>
    </row>
  </sheetData>
  <sheetProtection algorithmName="SHA-512" hashValue="EUHtV+RINRVoSA7d3ry3K+z4aYNSZsBT91PP2B5XSdoG+Ft+IkAkG4kjN5YZ9EcgLOiZ45XLim9a3thZspm2qA==" saltValue="/3lapy1qWmx7BlzU/WxHKg==" spinCount="100000" sheet="1" objects="1" scenarios="1" selectLockedCell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L35" sqref="L35:N35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3.5" thickBot="1" x14ac:dyDescent="0.25">
      <c r="A2" s="255" t="str">
        <f>výpočty!$R$14</f>
        <v>Függőleges (fentről le)</v>
      </c>
      <c r="B2" s="256" t="str">
        <f>výpočty!$R$9</f>
        <v>Hátra</v>
      </c>
      <c r="C2" t="str">
        <f>výpočty!$R$3</f>
        <v>TOP basic-közézáródó vezetés csavarozásra műanyag</v>
      </c>
      <c r="D2" s="26" t="str">
        <f>výpočty!$W$3</f>
        <v>Fekete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1</v>
      </c>
      <c r="W2" t="str">
        <f>VLOOKUP(V2,výpočty!Q3:S7,2,FALSE)</f>
        <v>TOP basic-közézáródó vezetés csavarozásra műanyag</v>
      </c>
    </row>
    <row r="3" spans="1:23" ht="13.5" thickBot="1" x14ac:dyDescent="0.25">
      <c r="A3" s="255" t="str">
        <f>výpočty!$R$14</f>
        <v>Függőleges (fentről le)</v>
      </c>
      <c r="B3" s="256" t="str">
        <f>výpočty!$R$9</f>
        <v>Hátra</v>
      </c>
      <c r="C3" t="str">
        <f>výpočty!$R$3</f>
        <v>TOP basic-közézáródó vezetés csavarozásra műanyag</v>
      </c>
      <c r="D3" s="36" t="str">
        <f>výpočty!$W$4</f>
        <v>Fehér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Hátra</v>
      </c>
    </row>
    <row r="4" spans="1:23" ht="13.5" thickBot="1" x14ac:dyDescent="0.25">
      <c r="A4" s="255" t="str">
        <f>výpočty!$R$14</f>
        <v>Függőleges (fentről le)</v>
      </c>
      <c r="B4" s="256" t="str">
        <f>výpočty!$R$9</f>
        <v>Hátra</v>
      </c>
      <c r="C4" t="str">
        <f>výpočty!$R$3</f>
        <v>TOP basic-közézáródó vezetés csavarozásra műanyag</v>
      </c>
      <c r="D4" s="36" t="str">
        <f>výpočty!$W$5</f>
        <v>Szürke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A</v>
      </c>
      <c r="U4" s="320" t="s">
        <v>1932</v>
      </c>
      <c r="V4">
        <f>SMER</f>
        <v>1</v>
      </c>
      <c r="W4" t="str">
        <f>VLOOKUP(V4,výpočty!Q14:R15,2,FALSE)</f>
        <v>Függőleges (fentről le)</v>
      </c>
    </row>
    <row r="5" spans="1:23" ht="13.5" thickBot="1" x14ac:dyDescent="0.25">
      <c r="A5" s="255" t="str">
        <f>výpočty!$R$14</f>
        <v>Függőleges (fentről le)</v>
      </c>
      <c r="B5" s="256" t="str">
        <f>výpočty!$R$9</f>
        <v>Hátra</v>
      </c>
      <c r="C5" t="str">
        <f>výpočty!$R$3</f>
        <v>TOP basic-közézáródó vezetés csavarozásra műanyag</v>
      </c>
      <c r="D5" s="36" t="str">
        <f>výpočty!$W$6</f>
        <v>Alumínium-műanyag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Fekete (E23)</v>
      </c>
    </row>
    <row r="6" spans="1:23" ht="13.5" thickBot="1" x14ac:dyDescent="0.25">
      <c r="A6" s="255" t="str">
        <f>výpočty!$R$14</f>
        <v>Függőleges (fentről le)</v>
      </c>
      <c r="B6" s="256" t="str">
        <f>výpočty!$R$9</f>
        <v>Hátra</v>
      </c>
      <c r="C6" t="str">
        <f>výpočty!$R$3</f>
        <v>TOP basic-közézáródó vezetés csavarozásra műanyag</v>
      </c>
      <c r="D6" s="36" t="str">
        <f>výpočty!$W$7</f>
        <v>Bükk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VXA1</v>
      </c>
    </row>
    <row r="7" spans="1:23" x14ac:dyDescent="0.2">
      <c r="A7" s="255" t="str">
        <f>výpočty!$R$14</f>
        <v>Függőleges (fentről le)</v>
      </c>
      <c r="B7" s="256" t="str">
        <f>výpočty!$R$9</f>
        <v>Hátra</v>
      </c>
      <c r="C7" t="str">
        <f>výpočty!$R$3</f>
        <v>TOP basic-közézáródó vezetés csavarozásra műanyag</v>
      </c>
      <c r="D7" s="36" t="str">
        <f>výpočty!$W$8</f>
        <v>Cseresznye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Függőleges (fentről le)</v>
      </c>
      <c r="B8" s="256" t="str">
        <f>výpočty!$R$9</f>
        <v>Hátra</v>
      </c>
      <c r="C8" t="str">
        <f>výpočty!$R$3</f>
        <v>TOP basic-közézáródó vezetés csavarozásra műanyag</v>
      </c>
      <c r="D8" s="36" t="str">
        <f>výpočty!$W$9</f>
        <v>Jávor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x14ac:dyDescent="0.2">
      <c r="A9" s="255" t="str">
        <f>výpočty!$R$14</f>
        <v>Függőleges (fentről le)</v>
      </c>
      <c r="B9" s="256" t="str">
        <f>výpočty!$R$9</f>
        <v>Hátra</v>
      </c>
      <c r="C9" t="str">
        <f>výpočty!$R$3</f>
        <v>TOP basic-közézáródó vezetés csavarozásra műanyag</v>
      </c>
      <c r="D9" s="36" t="str">
        <f>výpočty!$W$10</f>
        <v>Nyír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x14ac:dyDescent="0.2">
      <c r="A10" s="255" t="str">
        <f>výpočty!$R$14</f>
        <v>Függőleges (fentről le)</v>
      </c>
      <c r="B10" s="256" t="str">
        <f>výpočty!$R$9</f>
        <v>Hátra</v>
      </c>
      <c r="C10" t="str">
        <f>výpočty!$R$3</f>
        <v>TOP basic-közézáródó vezetés csavarozásra műanyag</v>
      </c>
      <c r="D10" s="36" t="str">
        <f>výpočty!$W$11</f>
        <v>Cseresznye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Függőleges (fentről le)</v>
      </c>
      <c r="B11" s="256" t="str">
        <f>výpočty!$R$9</f>
        <v>Hátra</v>
      </c>
      <c r="C11" t="str">
        <f>výpočty!$R$3</f>
        <v>TOP basic-közézáródó vezetés csavarozásra műanyag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87" t="s">
        <v>2287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Függőleges (fentről le)</v>
      </c>
      <c r="B12" s="256" t="str">
        <f>výpočty!$R$9</f>
        <v>Hátra</v>
      </c>
      <c r="C12" t="str">
        <f>výpočty!$R$3</f>
        <v>TOP basic-közézáródó vezetés csavarozásra műanyag</v>
      </c>
      <c r="D12" s="350" t="str">
        <f>výpočty!$W$14</f>
        <v>Hófehér Matt (E9)</v>
      </c>
      <c r="E12" s="321" t="s">
        <v>2131</v>
      </c>
      <c r="F12" s="321">
        <v>1</v>
      </c>
      <c r="G12" s="321" t="str">
        <f>Překlady!$A$142</f>
        <v>Az E9 profilnál a világos fehér kombinálható csak a Classic és a Top vezetésnél.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Az E9 profilnál a világos fehér kombinálható csak a Classic és a Top vezetésnél.</v>
      </c>
      <c r="N12">
        <f t="shared" si="2"/>
        <v>1</v>
      </c>
      <c r="T12" s="587"/>
      <c r="U12" s="347" t="str">
        <f>IF(AND(V8&gt;(1200-36),V4=1),Překlady!A156,"")</f>
        <v/>
      </c>
    </row>
    <row r="13" spans="1:23" x14ac:dyDescent="0.2">
      <c r="A13" s="255" t="str">
        <f>výpočty!$R$14</f>
        <v>Függőleges (fentről le)</v>
      </c>
      <c r="B13" s="256" t="str">
        <f>výpočty!$R$9</f>
        <v>Hátra</v>
      </c>
      <c r="C13" t="str">
        <f>výpočty!$R$3</f>
        <v>TOP basic-közézáródó vezetés csavarozásra műanyag</v>
      </c>
      <c r="D13" s="36" t="str">
        <f>výpočty!$W$15</f>
        <v>Alumínium-műanyag (E4)</v>
      </c>
      <c r="E13" t="s">
        <v>2131</v>
      </c>
      <c r="F13">
        <v>1</v>
      </c>
      <c r="G13" s="321" t="str">
        <f>Překlady!$A$143</f>
        <v xml:space="preserve"> E4 profil az alumínium műanyag színes elkészítése, alkalmas a vízszintes vezetésre,kombinálva a Classic vezetéssel,hátra tekercseléssel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 xml:space="preserve"> E4 profil az alumínium műanyag színes elkészítése, alkalmas a vízszintes vezetésre,kombinálva a Classic vezetéssel,hátra tekercseléssel</v>
      </c>
      <c r="N13">
        <f t="shared" si="2"/>
        <v>1</v>
      </c>
      <c r="T13" s="587"/>
      <c r="U13" s="349" t="str">
        <f>IF(AND(V4=2,V5&lt;&gt;13,V7&gt;1150),Překlady!A157,"")</f>
        <v/>
      </c>
    </row>
    <row r="14" spans="1:23" x14ac:dyDescent="0.2">
      <c r="A14" s="255" t="str">
        <f>výpočty!$R$14</f>
        <v>Függőleges (fentről le)</v>
      </c>
      <c r="B14" s="256" t="str">
        <f>výpočty!$R$9</f>
        <v>Hátra</v>
      </c>
      <c r="C14" t="str">
        <f>výpočty!$R$3</f>
        <v>TOP basic-közézáródó vezetés csavarozásra műanyag</v>
      </c>
      <c r="D14" s="36">
        <f>výpočty!$W$17</f>
        <v>0</v>
      </c>
      <c r="E14" t="s">
        <v>2131</v>
      </c>
      <c r="F14">
        <v>1</v>
      </c>
      <c r="G14" s="321" t="str">
        <f>Překlady!$A$144</f>
        <v>Nem lehet kombinálni a TOP BASIC vezetésű rendszert a redőny profillal Metallic line.Szükséges választani TOP vezetésüt.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Nem lehet kombinálni a TOP BASIC vezetésű rendszert a redőny profillal Metallic line.Szükséges választani TOP vezetésüt.</v>
      </c>
      <c r="N14">
        <f t="shared" si="2"/>
        <v>1</v>
      </c>
      <c r="T14" s="587"/>
      <c r="U14" s="347" t="str">
        <f>IF(AND(V4=2,V5=13,V7&gt;1900),Překlady!A158,"")</f>
        <v/>
      </c>
    </row>
    <row r="15" spans="1:23" x14ac:dyDescent="0.2">
      <c r="A15" s="255" t="str">
        <f>výpočty!$R$14</f>
        <v>Függőleges (fentről le)</v>
      </c>
      <c r="B15" s="256" t="str">
        <f>výpočty!$R$9</f>
        <v>Hátra</v>
      </c>
      <c r="C15" t="str">
        <f>výpočty!$R$3</f>
        <v>TOP basic-közézáródó vezetés csavarozásra műanyag</v>
      </c>
      <c r="D15" s="36">
        <f>výpočty!$W$18</f>
        <v>0</v>
      </c>
      <c r="E15" t="s">
        <v>2131</v>
      </c>
      <c r="F15">
        <v>1</v>
      </c>
      <c r="G15" s="321" t="str">
        <f>Překlady!$A$144</f>
        <v>Nem lehet kombinálni a TOP BASIC vezetésű rendszert a redőny profillal Metallic line.Szükséges választani TOP vezetésüt.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Nem lehet kombinálni a TOP BASIC vezetésű rendszert a redőny profillal Metallic line.Szükséges választani TOP vezetésüt.</v>
      </c>
      <c r="N15">
        <f t="shared" si="2"/>
        <v>1</v>
      </c>
      <c r="T15" s="587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Függőleges (fentről le)</v>
      </c>
      <c r="B16" s="256" t="str">
        <f>výpočty!$R$9</f>
        <v>Hátra</v>
      </c>
      <c r="C16" t="str">
        <f>výpočty!$R$3</f>
        <v>TOP basic-közézáródó vezetés csavarozásra műanyag</v>
      </c>
      <c r="D16" s="36" t="str">
        <f>výpočty!$W$19</f>
        <v>ALU szélesség 25 mm (metallic-line)</v>
      </c>
      <c r="E16" t="s">
        <v>2131</v>
      </c>
      <c r="F16">
        <v>1</v>
      </c>
      <c r="G16" s="321" t="str">
        <f>Překlady!$A$144</f>
        <v>Nem lehet kombinálni a TOP BASIC vezetésű rendszert a redőny profillal Metallic line.Szükséges választani TOP vezetésüt.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Nem lehet kombinálni a TOP BASIC vezetésű rendszert a redőny profillal Metallic line.Szükséges választani TOP vezetésüt.</v>
      </c>
      <c r="N16">
        <f t="shared" si="2"/>
        <v>1</v>
      </c>
    </row>
    <row r="17" spans="1:23" ht="13.5" thickBot="1" x14ac:dyDescent="0.25">
      <c r="A17" s="255" t="str">
        <f>výpočty!$R$14</f>
        <v>Függőleges (fentről le)</v>
      </c>
      <c r="B17" s="256" t="str">
        <f>výpočty!$R$9</f>
        <v>Hátra</v>
      </c>
      <c r="C17" t="str">
        <f>výpočty!$R$3</f>
        <v>TOP basic-közézáródó vezetés csavarozásra műanyag</v>
      </c>
      <c r="D17" s="27" t="str">
        <f>výpočty!$W$20</f>
        <v>Nemes acél szélesség 25 mm (metallic-line)</v>
      </c>
      <c r="E17" t="s">
        <v>2131</v>
      </c>
      <c r="F17">
        <v>1</v>
      </c>
      <c r="G17" s="321" t="str">
        <f>Překlady!$A$144</f>
        <v>Nem lehet kombinálni a TOP BASIC vezetésű rendszert a redőny profillal Metallic line.Szükséges választani TOP vezetésüt.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Nem lehet kombinálni a TOP BASIC vezetésű rendszert a redőny profillal Metallic line.Szükséges választani TOP vezetésüt.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Függőleges (fentről le)</v>
      </c>
      <c r="B18" s="256" t="str">
        <f>výpočty!$R$9</f>
        <v>Hátra</v>
      </c>
      <c r="C18" t="str">
        <f>výpočty!$R$4</f>
        <v>Classic - közézáródó vezetés bemarásra</v>
      </c>
      <c r="D18" s="26" t="str">
        <f>výpočty!$W$3</f>
        <v>Fekete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Függőleges (fentről le)</v>
      </c>
      <c r="B19" s="256" t="str">
        <f>výpočty!$R$9</f>
        <v>Hátra</v>
      </c>
      <c r="C19" t="str">
        <f>výpočty!$R$4</f>
        <v>Classic - közézáródó vezetés bemarásra</v>
      </c>
      <c r="D19" s="36" t="str">
        <f>výpočty!$W$4</f>
        <v>Fehér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Függőleges (fentről le)</v>
      </c>
      <c r="B20" s="256" t="str">
        <f>výpočty!$R$9</f>
        <v>Hátra</v>
      </c>
      <c r="C20" t="str">
        <f>výpočty!$R$4</f>
        <v>Classic - közézáródó vezetés bemarásra</v>
      </c>
      <c r="D20" s="36" t="str">
        <f>výpočty!$W$5</f>
        <v>Szürke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Függőleges (fentről le)</v>
      </c>
      <c r="B21" s="256" t="str">
        <f>výpočty!$R$9</f>
        <v>Hátra</v>
      </c>
      <c r="C21" t="str">
        <f>výpočty!$R$4</f>
        <v>Classic - közézáródó vezetés bemarásra</v>
      </c>
      <c r="D21" s="36" t="str">
        <f>výpočty!$W$6</f>
        <v>Alumínium-műanyag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Függőleges (fentről le)</v>
      </c>
      <c r="B22" s="256" t="str">
        <f>výpočty!$R$9</f>
        <v>Hátra</v>
      </c>
      <c r="C22" t="str">
        <f>výpočty!$R$4</f>
        <v>Classic - közézáródó vezetés bemarásra</v>
      </c>
      <c r="D22" s="36" t="str">
        <f>výpočty!$W$7</f>
        <v>Bükk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Függőleges (fentről le)</v>
      </c>
      <c r="B23" s="256" t="str">
        <f>výpočty!$R$9</f>
        <v>Hátra</v>
      </c>
      <c r="C23" t="str">
        <f>výpočty!$R$4</f>
        <v>Classic - közézáródó vezetés bemarásra</v>
      </c>
      <c r="D23" s="36" t="str">
        <f>výpočty!$W$8</f>
        <v>Cseresznye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Függőleges (fentről le)</v>
      </c>
      <c r="B24" s="256" t="str">
        <f>výpočty!$R$9</f>
        <v>Hátra</v>
      </c>
      <c r="C24" t="str">
        <f>výpočty!$R$4</f>
        <v>Classic - közézáródó vezetés bemarásra</v>
      </c>
      <c r="D24" s="36" t="str">
        <f>výpočty!$W$9</f>
        <v>Jávor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Függőleges (fentről le)</v>
      </c>
      <c r="B25" s="256" t="str">
        <f>výpočty!$R$9</f>
        <v>Hátra</v>
      </c>
      <c r="C25" t="str">
        <f>výpočty!$R$4</f>
        <v>Classic - közézáródó vezetés bemarásra</v>
      </c>
      <c r="D25" s="36" t="str">
        <f>výpočty!$W$10</f>
        <v>Nyír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Függőleges (fentről le)</v>
      </c>
      <c r="B26" s="256" t="str">
        <f>výpočty!$R$9</f>
        <v>Hátra</v>
      </c>
      <c r="C26" t="str">
        <f>výpočty!$R$4</f>
        <v>Classic - közézáródó vezetés bemarásra</v>
      </c>
      <c r="D26" s="36" t="str">
        <f>výpočty!$W$11</f>
        <v>Cseresznye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Függőleges (fentről le)</v>
      </c>
      <c r="B27" s="256" t="str">
        <f>výpočty!$R$9</f>
        <v>Hátra</v>
      </c>
      <c r="C27" t="str">
        <f>výpočty!$R$4</f>
        <v>Classic - közézáródó vezetés bemarásra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Függőleges (fentről le)</v>
      </c>
      <c r="B28" s="256" t="str">
        <f>výpočty!$R$9</f>
        <v>Hátra</v>
      </c>
      <c r="C28" t="str">
        <f>výpočty!$R$4</f>
        <v>Classic - közézáródó vezetés bemarásra</v>
      </c>
      <c r="D28" s="350" t="str">
        <f>výpočty!$W$14</f>
        <v>Hófehér Matt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Függőleges (fentről le)</v>
      </c>
      <c r="B29" s="256" t="str">
        <f>výpočty!$R$9</f>
        <v>Hátra</v>
      </c>
      <c r="C29" t="str">
        <f>výpočty!$R$4</f>
        <v>Classic - közézáródó vezetés bemarásra</v>
      </c>
      <c r="D29" s="36" t="str">
        <f>výpočty!$W$15</f>
        <v>Alumínium-műanyag (E4)</v>
      </c>
      <c r="E29" s="321" t="s">
        <v>2131</v>
      </c>
      <c r="F29" s="321">
        <v>0</v>
      </c>
      <c r="G29" s="321" t="str">
        <f>Překlady!$A$143</f>
        <v xml:space="preserve"> E4 profil az alumínium műanyag színes elkészítése, alkalmas a vízszintes vezetésre,kombinálva a Classic vezetéssel,hátra tekercseléssel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 xml:space="preserve"> E4 profil az alumínium műanyag színes elkészítése, alkalmas a vízszintes vezetésre,kombinálva a Classic vezetéssel,hátra tekercseléssel</v>
      </c>
      <c r="N29">
        <f t="shared" si="2"/>
        <v>0</v>
      </c>
    </row>
    <row r="30" spans="1:23" x14ac:dyDescent="0.2">
      <c r="A30" s="255" t="str">
        <f>výpočty!$R$14</f>
        <v>Függőleges (fentről le)</v>
      </c>
      <c r="B30" s="256" t="str">
        <f>výpočty!$R$9</f>
        <v>Hátra</v>
      </c>
      <c r="C30" t="str">
        <f>výpočty!$R$4</f>
        <v>Classic - közézáródó vezetés bemarásra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Függőleges (fentről le)</v>
      </c>
      <c r="B31" s="256" t="str">
        <f>výpočty!$R$9</f>
        <v>Hátra</v>
      </c>
      <c r="C31" t="str">
        <f>výpočty!$R$4</f>
        <v>Classic - közézáródó vezetés bemarásra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Függőleges (fentről le)</v>
      </c>
      <c r="B32" s="256" t="str">
        <f>výpočty!$R$9</f>
        <v>Hátra</v>
      </c>
      <c r="C32" t="str">
        <f>výpočty!$R$4</f>
        <v>Classic - közézáródó vezetés bemarásra</v>
      </c>
      <c r="D32" s="36" t="str">
        <f>výpočty!$W$19</f>
        <v>ALU szélesség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Függőleges (fentről le)</v>
      </c>
      <c r="B33" s="256" t="str">
        <f>výpočty!$R$9</f>
        <v>Hátra</v>
      </c>
      <c r="C33" t="str">
        <f>výpočty!$R$4</f>
        <v>Classic - közézáródó vezetés bemarásra</v>
      </c>
      <c r="D33" s="27" t="str">
        <f>výpočty!$W$20</f>
        <v>Nemes acél szélesség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Függőleges (fentről le)</v>
      </c>
      <c r="B34" s="256" t="str">
        <f>výpočty!$R$9</f>
        <v>Hátra</v>
      </c>
      <c r="C34" t="str">
        <f>výpočty!$R$5</f>
        <v xml:space="preserve">Frame - ráütődő takaró léces vezetéssel </v>
      </c>
      <c r="D34" s="26" t="str">
        <f>výpočty!$W$3</f>
        <v>Fekete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Függőleges (fentről le)</v>
      </c>
      <c r="B35" s="256" t="str">
        <f>výpočty!$R$9</f>
        <v>Hátra</v>
      </c>
      <c r="C35" t="str">
        <f>výpočty!$R$5</f>
        <v xml:space="preserve">Frame - ráütődő takaró léces vezetéssel </v>
      </c>
      <c r="D35" s="36" t="str">
        <f>výpočty!$W$4</f>
        <v>Fehér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Függőleges (fentről le)</v>
      </c>
      <c r="B36" s="256" t="str">
        <f>výpočty!$R$9</f>
        <v>Hátra</v>
      </c>
      <c r="C36" t="str">
        <f>výpočty!$R$5</f>
        <v xml:space="preserve">Frame - ráütődő takaró léces vezetéssel </v>
      </c>
      <c r="D36" s="36" t="str">
        <f>výpočty!$W$5</f>
        <v>Szürke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Függőleges (fentről le)</v>
      </c>
      <c r="B37" s="256" t="str">
        <f>výpočty!$R$9</f>
        <v>Hátra</v>
      </c>
      <c r="C37" t="str">
        <f>výpočty!$R$5</f>
        <v xml:space="preserve">Frame - ráütődő takaró léces vezetéssel </v>
      </c>
      <c r="D37" s="36" t="str">
        <f>výpočty!$W$6</f>
        <v>Alumínium-műanyag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Függőleges (fentről le)</v>
      </c>
      <c r="B38" s="256" t="str">
        <f>výpočty!$R$9</f>
        <v>Hátra</v>
      </c>
      <c r="C38" t="str">
        <f>výpočty!$R$5</f>
        <v xml:space="preserve">Frame - ráütődő takaró léces vezetéssel </v>
      </c>
      <c r="D38" s="36" t="str">
        <f>výpočty!$W$7</f>
        <v>Bükk (E23)</v>
      </c>
      <c r="E38" t="s">
        <v>2131</v>
      </c>
      <c r="F38">
        <v>1</v>
      </c>
      <c r="G38" s="321" t="str">
        <f>Překlady!$A$145</f>
        <v>A Bükk színes elkészítése az E23 profilnál, nem kombinálható a FRAME vezetéssel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A Bükk színes elkészítése az E23 profilnál, nem kombinálható a FRAME vezetéssel</v>
      </c>
      <c r="N38">
        <f t="shared" si="2"/>
        <v>1</v>
      </c>
    </row>
    <row r="39" spans="1:14" x14ac:dyDescent="0.2">
      <c r="A39" s="255" t="str">
        <f>výpočty!$R$14</f>
        <v>Függőleges (fentről le)</v>
      </c>
      <c r="B39" s="256" t="str">
        <f>výpočty!$R$9</f>
        <v>Hátra</v>
      </c>
      <c r="C39" t="str">
        <f>výpočty!$R$5</f>
        <v xml:space="preserve">Frame - ráütődő takaró léces vezetéssel </v>
      </c>
      <c r="D39" s="36" t="str">
        <f>výpočty!$W$8</f>
        <v>Cseresznye (E23)</v>
      </c>
      <c r="E39" t="s">
        <v>2130</v>
      </c>
      <c r="F39">
        <v>1</v>
      </c>
      <c r="G39" t="str">
        <f>Překlady!$A$176</f>
        <v>A Cseresznye színes elkészítése az E23 profilnál, nem kombinálható a FRAME vezetéssel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A Cseresznye színes elkészítése az E23 profilnál, nem kombinálható a FRAME vezetéssel</v>
      </c>
      <c r="N39">
        <f t="shared" si="2"/>
        <v>1</v>
      </c>
    </row>
    <row r="40" spans="1:14" x14ac:dyDescent="0.2">
      <c r="A40" s="255" t="str">
        <f>výpočty!$R$14</f>
        <v>Függőleges (fentről le)</v>
      </c>
      <c r="B40" s="256" t="str">
        <f>výpočty!$R$9</f>
        <v>Hátra</v>
      </c>
      <c r="C40" t="str">
        <f>výpočty!$R$5</f>
        <v xml:space="preserve">Frame - ráütődő takaró léces vezetéssel </v>
      </c>
      <c r="D40" s="36" t="str">
        <f>výpočty!$W$9</f>
        <v>Jávor (E23)</v>
      </c>
      <c r="E40" t="s">
        <v>2130</v>
      </c>
      <c r="F40">
        <v>1</v>
      </c>
      <c r="G40" t="str">
        <f>Překlady!$A$177</f>
        <v>A Jávor színes elkészítése az E23 profilnál, nem kombinálható a FRAME vezetéssel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A Jávor színes elkészítése az E23 profilnál, nem kombinálható a FRAME vezetéssel</v>
      </c>
      <c r="N40">
        <f t="shared" si="2"/>
        <v>1</v>
      </c>
    </row>
    <row r="41" spans="1:14" x14ac:dyDescent="0.2">
      <c r="A41" s="255" t="str">
        <f>výpočty!$R$14</f>
        <v>Függőleges (fentről le)</v>
      </c>
      <c r="B41" s="256" t="str">
        <f>výpočty!$R$9</f>
        <v>Hátra</v>
      </c>
      <c r="C41" t="str">
        <f>výpočty!$R$5</f>
        <v xml:space="preserve">Frame - ráütődő takaró léces vezetéssel </v>
      </c>
      <c r="D41" s="36" t="str">
        <f>výpočty!$W$10</f>
        <v>Nyír (E23)</v>
      </c>
      <c r="E41" t="s">
        <v>2130</v>
      </c>
      <c r="F41">
        <v>1</v>
      </c>
      <c r="G41" t="str">
        <f>Překlady!$A$175</f>
        <v>A Nyír színes elkészítése az E23 profilnál, nem kombinálható a FRAME vezetéssel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A Nyír színes elkészítése az E23 profilnál, nem kombinálható a FRAME vezetéssel</v>
      </c>
      <c r="N41">
        <f t="shared" si="2"/>
        <v>1</v>
      </c>
    </row>
    <row r="42" spans="1:14" x14ac:dyDescent="0.2">
      <c r="A42" s="255" t="str">
        <f>výpočty!$R$14</f>
        <v>Függőleges (fentről le)</v>
      </c>
      <c r="B42" s="256" t="str">
        <f>výpočty!$R$9</f>
        <v>Hátra</v>
      </c>
      <c r="C42" t="str">
        <f>výpočty!$R$5</f>
        <v xml:space="preserve">Frame - ráütődő takaró léces vezetéssel </v>
      </c>
      <c r="D42" s="36" t="str">
        <f>výpočty!$W$11</f>
        <v>Cseresznye havana (E23)</v>
      </c>
      <c r="E42" t="s">
        <v>2131</v>
      </c>
      <c r="F42">
        <v>1</v>
      </c>
      <c r="G42" t="str">
        <f>Překlady!$A$170</f>
        <v>A Cseresznye havana színes elkészítése az E23 profilnál, nem kombinálható a FRAME vezetéssel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A Cseresznye havana színes elkészítése az E23 profilnál, nem kombinálható a FRAME vezetéssel</v>
      </c>
      <c r="N42">
        <f t="shared" si="2"/>
        <v>1</v>
      </c>
    </row>
    <row r="43" spans="1:14" x14ac:dyDescent="0.2">
      <c r="A43" s="255" t="str">
        <f>výpočty!$R$14</f>
        <v>Függőleges (fentről le)</v>
      </c>
      <c r="B43" s="256" t="str">
        <f>výpočty!$R$9</f>
        <v>Hátra</v>
      </c>
      <c r="C43" t="str">
        <f>výpočty!$R$5</f>
        <v xml:space="preserve">Frame - ráütődő takaró léces vezetéssel 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A Calvados színes elkészítése az E23 profilnál, nem kombinálható a FRAME vezetéssel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A Calvados színes elkészítése az E23 profilnál, nem kombinálható a FRAME vezetéssel</v>
      </c>
      <c r="N43">
        <f t="shared" si="2"/>
        <v>1</v>
      </c>
    </row>
    <row r="44" spans="1:14" x14ac:dyDescent="0.2">
      <c r="A44" s="255" t="str">
        <f>výpočty!$R$14</f>
        <v>Függőleges (fentről le)</v>
      </c>
      <c r="B44" s="256" t="str">
        <f>výpočty!$R$9</f>
        <v>Hátra</v>
      </c>
      <c r="C44" t="str">
        <f>výpočty!$R$5</f>
        <v xml:space="preserve">Frame - ráütődő takaró léces vezetéssel </v>
      </c>
      <c r="D44" s="36" t="str">
        <f>výpočty!$W$14</f>
        <v>Hófehér Matt (E9)</v>
      </c>
      <c r="E44" s="321" t="s">
        <v>2131</v>
      </c>
      <c r="F44" s="321">
        <v>1</v>
      </c>
      <c r="G44" s="321" t="str">
        <f>Překlady!$A$142</f>
        <v>Az E9 profilnál a világos fehér kombinálható csak a Classic és a Top vezetésnél.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Az E9 profilnál a világos fehér kombinálható csak a Classic és a Top vezetésnél.</v>
      </c>
      <c r="N44">
        <f t="shared" si="2"/>
        <v>1</v>
      </c>
    </row>
    <row r="45" spans="1:14" x14ac:dyDescent="0.2">
      <c r="A45" s="255" t="str">
        <f>výpočty!$R$14</f>
        <v>Függőleges (fentről le)</v>
      </c>
      <c r="B45" s="256" t="str">
        <f>výpočty!$R$9</f>
        <v>Hátra</v>
      </c>
      <c r="C45" t="str">
        <f>výpočty!$R$5</f>
        <v xml:space="preserve">Frame - ráütődő takaró léces vezetéssel </v>
      </c>
      <c r="D45" s="36" t="str">
        <f>výpočty!$W$15</f>
        <v>Alumínium-műanyag (E4)</v>
      </c>
      <c r="E45" t="s">
        <v>2131</v>
      </c>
      <c r="F45">
        <v>1</v>
      </c>
      <c r="G45" s="321" t="str">
        <f>Překlady!$A$143</f>
        <v xml:space="preserve"> E4 profil az alumínium műanyag színes elkészítése, alkalmas a vízszintes vezetésre,kombinálva a Classic vezetéssel,hátra tekercseléssel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 xml:space="preserve"> E4 profil az alumínium műanyag színes elkészítése, alkalmas a vízszintes vezetésre,kombinálva a Classic vezetéssel,hátra tekercseléssel</v>
      </c>
      <c r="N45">
        <f t="shared" si="2"/>
        <v>1</v>
      </c>
    </row>
    <row r="46" spans="1:14" x14ac:dyDescent="0.2">
      <c r="A46" s="255" t="str">
        <f>výpočty!$R$14</f>
        <v>Függőleges (fentről le)</v>
      </c>
      <c r="B46" s="256" t="str">
        <f>výpočty!$R$9</f>
        <v>Hátra</v>
      </c>
      <c r="C46" t="str">
        <f>výpočty!$R$5</f>
        <v xml:space="preserve">Frame - ráütődő takaró léces vezetéssel 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Függőleges (fentről le)</v>
      </c>
      <c r="B47" s="256" t="str">
        <f>výpočty!$R$9</f>
        <v>Hátra</v>
      </c>
      <c r="C47" t="str">
        <f>výpočty!$R$5</f>
        <v xml:space="preserve">Frame - ráütődő takaró léces vezetéssel 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Függőleges (fentről le)</v>
      </c>
      <c r="B48" s="256" t="str">
        <f>výpočty!$R$9</f>
        <v>Hátra</v>
      </c>
      <c r="C48" t="str">
        <f>výpočty!$R$5</f>
        <v xml:space="preserve">Frame - ráütődő takaró léces vezetéssel </v>
      </c>
      <c r="D48" s="36" t="str">
        <f>výpočty!$W$19</f>
        <v>ALU szélesség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Függőleges (fentről le)</v>
      </c>
      <c r="B49" s="256" t="str">
        <f>výpočty!$R$9</f>
        <v>Hátra</v>
      </c>
      <c r="C49" t="str">
        <f>výpočty!$R$5</f>
        <v xml:space="preserve">Frame - ráütődő takaró léces vezetéssel </v>
      </c>
      <c r="D49" s="27" t="str">
        <f>výpočty!$W$20</f>
        <v>Nemes acél szélesség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Függőleges (fentről le)</v>
      </c>
      <c r="B50" s="256" t="str">
        <f>výpočty!$R$9</f>
        <v>Hátra</v>
      </c>
      <c r="C50" t="str">
        <f>výpočty!$R$6</f>
        <v>TOP - közzézáródó vezetés csavarozásra fém takaró léccel</v>
      </c>
      <c r="D50" s="26" t="str">
        <f>výpočty!$W$3</f>
        <v>Fekete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Függőleges (fentről le)</v>
      </c>
      <c r="B51" s="256" t="str">
        <f>výpočty!$R$9</f>
        <v>Hátra</v>
      </c>
      <c r="C51" t="str">
        <f>výpočty!$R$6</f>
        <v>TOP - közzézáródó vezetés csavarozásra fém takaró léccel</v>
      </c>
      <c r="D51" s="36" t="str">
        <f>výpočty!$W$4</f>
        <v>Fehér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Függőleges (fentről le)</v>
      </c>
      <c r="B52" s="256" t="str">
        <f>výpočty!$R$9</f>
        <v>Hátra</v>
      </c>
      <c r="C52" t="str">
        <f>výpočty!$R$6</f>
        <v>TOP - közzézáródó vezetés csavarozásra fém takaró léccel</v>
      </c>
      <c r="D52" s="36" t="str">
        <f>výpočty!$W$5</f>
        <v>Szürke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Függőleges (fentről le)</v>
      </c>
      <c r="B53" s="256" t="str">
        <f>výpočty!$R$9</f>
        <v>Hátra</v>
      </c>
      <c r="C53" t="str">
        <f>výpočty!$R$6</f>
        <v>TOP - közzézáródó vezetés csavarozásra fém takaró léccel</v>
      </c>
      <c r="D53" s="36" t="str">
        <f>výpočty!$W$6</f>
        <v>Alumínium-műanyag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Függőleges (fentről le)</v>
      </c>
      <c r="B54" s="256" t="str">
        <f>výpočty!$R$9</f>
        <v>Hátra</v>
      </c>
      <c r="C54" t="str">
        <f>výpočty!$R$6</f>
        <v>TOP - közzézáródó vezetés csavarozásra fém takaró léccel</v>
      </c>
      <c r="D54" s="36" t="str">
        <f>výpočty!$W$7</f>
        <v>Bükk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Függőleges (fentről le)</v>
      </c>
      <c r="B55" s="256" t="str">
        <f>výpočty!$R$9</f>
        <v>Hátra</v>
      </c>
      <c r="C55" t="str">
        <f>výpočty!$R$6</f>
        <v>TOP - közzézáródó vezetés csavarozásra fém takaró léccel</v>
      </c>
      <c r="D55" s="36" t="str">
        <f>výpočty!$W$8</f>
        <v>Cseresznye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Függőleges (fentről le)</v>
      </c>
      <c r="B56" s="256" t="str">
        <f>výpočty!$R$9</f>
        <v>Hátra</v>
      </c>
      <c r="C56" t="str">
        <f>výpočty!$R$6</f>
        <v>TOP - közzézáródó vezetés csavarozásra fém takaró léccel</v>
      </c>
      <c r="D56" s="36" t="str">
        <f>výpočty!$W$9</f>
        <v>Jávor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Függőleges (fentről le)</v>
      </c>
      <c r="B57" s="256" t="str">
        <f>výpočty!$R$9</f>
        <v>Hátra</v>
      </c>
      <c r="C57" t="str">
        <f>výpočty!$R$6</f>
        <v>TOP - közzézáródó vezetés csavarozásra fém takaró léccel</v>
      </c>
      <c r="D57" s="36" t="str">
        <f>výpočty!$W$10</f>
        <v>Nyír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Függőleges (fentről le)</v>
      </c>
      <c r="B58" s="256" t="str">
        <f>výpočty!$R$9</f>
        <v>Hátra</v>
      </c>
      <c r="C58" t="str">
        <f>výpočty!$R$6</f>
        <v>TOP - közzézáródó vezetés csavarozásra fém takaró léccel</v>
      </c>
      <c r="D58" s="36" t="str">
        <f>výpočty!$W$11</f>
        <v>Cseresznye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Függőleges (fentről le)</v>
      </c>
      <c r="B59" s="256" t="str">
        <f>výpočty!$R$9</f>
        <v>Hátra</v>
      </c>
      <c r="C59" t="str">
        <f>výpočty!$R$6</f>
        <v>TOP - közzézáródó vezetés csavarozásra fém takaró léccel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Függőleges (fentről le)</v>
      </c>
      <c r="B60" s="256" t="str">
        <f>výpočty!$R$9</f>
        <v>Hátra</v>
      </c>
      <c r="C60" t="str">
        <f>výpočty!$R$6</f>
        <v>TOP - közzézáródó vezetés csavarozásra fém takaró léccel</v>
      </c>
      <c r="D60" s="350" t="str">
        <f>výpočty!$W$14</f>
        <v>Hófehér Matt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Függőleges (fentről le)</v>
      </c>
      <c r="B61" s="256" t="str">
        <f>výpočty!$R$9</f>
        <v>Hátra</v>
      </c>
      <c r="C61" t="str">
        <f>výpočty!$R$6</f>
        <v>TOP - közzézáródó vezetés csavarozásra fém takaró léccel</v>
      </c>
      <c r="D61" s="36" t="str">
        <f>výpočty!$W$15</f>
        <v>Alumínium-műanyag (E4)</v>
      </c>
      <c r="E61" t="s">
        <v>2131</v>
      </c>
      <c r="F61">
        <v>1</v>
      </c>
      <c r="G61" s="321" t="str">
        <f>Překlady!$A$143</f>
        <v xml:space="preserve"> E4 profil az alumínium műanyag színes elkészítése, alkalmas a vízszintes vezetésre,kombinálva a Classic vezetéssel,hátra tekercseléssel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 xml:space="preserve"> E4 profil az alumínium műanyag színes elkészítése, alkalmas a vízszintes vezetésre,kombinálva a Classic vezetéssel,hátra tekercseléssel</v>
      </c>
      <c r="N61">
        <f t="shared" si="2"/>
        <v>1</v>
      </c>
    </row>
    <row r="62" spans="1:14" x14ac:dyDescent="0.2">
      <c r="A62" s="255" t="str">
        <f>výpočty!$R$14</f>
        <v>Függőleges (fentről le)</v>
      </c>
      <c r="B62" s="256" t="str">
        <f>výpočty!$R$9</f>
        <v>Hátra</v>
      </c>
      <c r="C62" t="str">
        <f>výpočty!$R$6</f>
        <v>TOP - közzézáródó vezetés csavarozásra fém takaró léccel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Függőleges (fentről le)</v>
      </c>
      <c r="B63" s="256" t="str">
        <f>výpočty!$R$9</f>
        <v>Hátra</v>
      </c>
      <c r="C63" t="str">
        <f>výpočty!$R$6</f>
        <v>TOP - közzézáródó vezetés csavarozásra fém takaró léccel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Függőleges (fentről le)</v>
      </c>
      <c r="B64" s="256" t="str">
        <f>výpočty!$R$9</f>
        <v>Hátra</v>
      </c>
      <c r="C64" t="str">
        <f>výpočty!$R$6</f>
        <v>TOP - közzézáródó vezetés csavarozásra fém takaró léccel</v>
      </c>
      <c r="D64" s="36" t="str">
        <f>výpočty!$W$19</f>
        <v>ALU szélesség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Függőleges (fentről le)</v>
      </c>
      <c r="B65" s="256" t="str">
        <f>výpočty!$R$9</f>
        <v>Hátra</v>
      </c>
      <c r="C65" t="str">
        <f>výpočty!$R$6</f>
        <v>TOP - közzézáródó vezetés csavarozásra fém takaró léccel</v>
      </c>
      <c r="D65" s="27" t="str">
        <f>výpočty!$W$20</f>
        <v>Nemes acél szélesség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Függőleges (fentről le)</v>
      </c>
      <c r="B66" s="256" t="str">
        <f>výpočty!$R$9</f>
        <v>Hátra</v>
      </c>
      <c r="C66" t="str">
        <f>výpočty!$R$7</f>
        <v>Ráütődő metallic-line vezetéssel 29mm és C3 mech.</v>
      </c>
      <c r="D66" s="26" t="str">
        <f>výpočty!$W$3</f>
        <v>Fekete (E23)</v>
      </c>
      <c r="E66" t="s">
        <v>2131</v>
      </c>
      <c r="F66">
        <v>1</v>
      </c>
      <c r="G66" s="321" t="str">
        <f>Překlady!$A$146</f>
        <v xml:space="preserve"> Ráütődő metallic-line vezetéssel 29mm és C3 mech.,kombinálható csak tekercseléses vezetéssel a C3 mechanikára.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 xml:space="preserve"> Ráütődő metallic-line vezetéssel 29mm és C3 mech.,kombinálható csak tekercseléses vezetéssel a C3 mechanikára.</v>
      </c>
      <c r="N66">
        <f t="shared" si="2"/>
        <v>1</v>
      </c>
    </row>
    <row r="67" spans="1:14" x14ac:dyDescent="0.2">
      <c r="A67" s="255" t="str">
        <f>výpočty!$R$14</f>
        <v>Függőleges (fentről le)</v>
      </c>
      <c r="B67" s="256" t="str">
        <f>výpočty!$R$9</f>
        <v>Hátra</v>
      </c>
      <c r="C67" t="str">
        <f>výpočty!$R$7</f>
        <v>Ráütődő metallic-line vezetéssel 29mm és C3 mech.</v>
      </c>
      <c r="D67" s="36" t="str">
        <f>výpočty!$W$4</f>
        <v>Fehér (E23)</v>
      </c>
      <c r="E67" t="s">
        <v>2131</v>
      </c>
      <c r="F67">
        <v>1</v>
      </c>
      <c r="G67" s="321" t="str">
        <f>Překlady!$A$146</f>
        <v xml:space="preserve"> Ráütődő metallic-line vezetéssel 29mm és C3 mech.,kombinálható csak tekercseléses vezetéssel a C3 mechanikára.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 xml:space="preserve"> Ráütődő metallic-line vezetéssel 29mm és C3 mech.,kombinálható csak tekercseléses vezetéssel a C3 mechanikára.</v>
      </c>
      <c r="N67">
        <f t="shared" ref="N67:N130" si="5">F:F</f>
        <v>1</v>
      </c>
    </row>
    <row r="68" spans="1:14" x14ac:dyDescent="0.2">
      <c r="A68" s="255" t="str">
        <f>výpočty!$R$14</f>
        <v>Függőleges (fentről le)</v>
      </c>
      <c r="B68" s="256" t="str">
        <f>výpočty!$R$9</f>
        <v>Hátra</v>
      </c>
      <c r="C68" t="str">
        <f>výpočty!$R$7</f>
        <v>Ráütődő metallic-line vezetéssel 29mm és C3 mech.</v>
      </c>
      <c r="D68" s="36" t="str">
        <f>výpočty!$W$5</f>
        <v>Szürke (E23)</v>
      </c>
      <c r="E68" t="s">
        <v>2131</v>
      </c>
      <c r="F68">
        <v>1</v>
      </c>
      <c r="G68" s="321" t="str">
        <f>Překlady!$A$146</f>
        <v xml:space="preserve"> Ráütődő metallic-line vezetéssel 29mm és C3 mech.,kombinálható csak tekercseléses vezetéssel a C3 mechanikára.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 xml:space="preserve"> Ráütődő metallic-line vezetéssel 29mm és C3 mech.,kombinálható csak tekercseléses vezetéssel a C3 mechanikára.</v>
      </c>
      <c r="N68">
        <f t="shared" si="5"/>
        <v>1</v>
      </c>
    </row>
    <row r="69" spans="1:14" x14ac:dyDescent="0.2">
      <c r="A69" s="255" t="str">
        <f>výpočty!$R$14</f>
        <v>Függőleges (fentről le)</v>
      </c>
      <c r="B69" s="256" t="str">
        <f>výpočty!$R$9</f>
        <v>Hátra</v>
      </c>
      <c r="C69" t="str">
        <f>výpočty!$R$7</f>
        <v>Ráütődő metallic-line vezetéssel 29mm és C3 mech.</v>
      </c>
      <c r="D69" s="36" t="str">
        <f>výpočty!$W$6</f>
        <v>Alumínium-műanyag (E23)</v>
      </c>
      <c r="E69" t="s">
        <v>2131</v>
      </c>
      <c r="F69">
        <v>1</v>
      </c>
      <c r="G69" s="321" t="str">
        <f>Překlady!$A$146</f>
        <v xml:space="preserve"> Ráütődő metallic-line vezetéssel 29mm és C3 mech.,kombinálható csak tekercseléses vezetéssel a C3 mechanikára.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 xml:space="preserve"> Ráütődő metallic-line vezetéssel 29mm és C3 mech.,kombinálható csak tekercseléses vezetéssel a C3 mechanikára.</v>
      </c>
      <c r="N69">
        <f t="shared" si="5"/>
        <v>1</v>
      </c>
    </row>
    <row r="70" spans="1:14" x14ac:dyDescent="0.2">
      <c r="A70" s="255" t="str">
        <f>výpočty!$R$14</f>
        <v>Függőleges (fentről le)</v>
      </c>
      <c r="B70" s="256" t="str">
        <f>výpočty!$R$9</f>
        <v>Hátra</v>
      </c>
      <c r="C70" t="str">
        <f>výpočty!$R$7</f>
        <v>Ráütődő metallic-line vezetéssel 29mm és C3 mech.</v>
      </c>
      <c r="D70" s="36" t="str">
        <f>výpočty!$W$7</f>
        <v>Bükk (E23)</v>
      </c>
      <c r="E70" t="s">
        <v>2131</v>
      </c>
      <c r="F70">
        <v>1</v>
      </c>
      <c r="G70" s="321" t="str">
        <f>Překlady!$A$146</f>
        <v xml:space="preserve"> Ráütődő metallic-line vezetéssel 29mm és C3 mech.,kombinálható csak tekercseléses vezetéssel a C3 mechanikára.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 xml:space="preserve"> Ráütődő metallic-line vezetéssel 29mm és C3 mech.,kombinálható csak tekercseléses vezetéssel a C3 mechanikára.</v>
      </c>
      <c r="N70">
        <f t="shared" si="5"/>
        <v>1</v>
      </c>
    </row>
    <row r="71" spans="1:14" x14ac:dyDescent="0.2">
      <c r="A71" s="255" t="str">
        <f>výpočty!$R$14</f>
        <v>Függőleges (fentről le)</v>
      </c>
      <c r="B71" s="256" t="str">
        <f>výpočty!$R$9</f>
        <v>Hátra</v>
      </c>
      <c r="C71" t="str">
        <f>výpočty!$R$7</f>
        <v>Ráütődő metallic-line vezetéssel 29mm és C3 mech.</v>
      </c>
      <c r="D71" s="36" t="str">
        <f>výpočty!$W$8</f>
        <v>Cseresznye (E23)</v>
      </c>
      <c r="E71" t="s">
        <v>2131</v>
      </c>
      <c r="F71">
        <v>1</v>
      </c>
      <c r="G71" s="321" t="str">
        <f>Překlady!$A$146</f>
        <v xml:space="preserve"> Ráütődő metallic-line vezetéssel 29mm és C3 mech.,kombinálható csak tekercseléses vezetéssel a C3 mechanikára.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 xml:space="preserve"> Ráütődő metallic-line vezetéssel 29mm és C3 mech.,kombinálható csak tekercseléses vezetéssel a C3 mechanikára.</v>
      </c>
      <c r="N71">
        <f t="shared" si="5"/>
        <v>1</v>
      </c>
    </row>
    <row r="72" spans="1:14" x14ac:dyDescent="0.2">
      <c r="A72" s="255" t="str">
        <f>výpočty!$R$14</f>
        <v>Függőleges (fentről le)</v>
      </c>
      <c r="B72" s="256" t="str">
        <f>výpočty!$R$9</f>
        <v>Hátra</v>
      </c>
      <c r="C72" t="str">
        <f>výpočty!$R$7</f>
        <v>Ráütődő metallic-line vezetéssel 29mm és C3 mech.</v>
      </c>
      <c r="D72" s="36" t="str">
        <f>výpočty!$W$9</f>
        <v>Jávor (E23)</v>
      </c>
      <c r="E72" t="s">
        <v>2131</v>
      </c>
      <c r="F72">
        <v>1</v>
      </c>
      <c r="G72" s="321" t="str">
        <f>Překlady!$A$146</f>
        <v xml:space="preserve"> Ráütődő metallic-line vezetéssel 29mm és C3 mech.,kombinálható csak tekercseléses vezetéssel a C3 mechanikára.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 xml:space="preserve"> Ráütődő metallic-line vezetéssel 29mm és C3 mech.,kombinálható csak tekercseléses vezetéssel a C3 mechanikára.</v>
      </c>
      <c r="N72">
        <f t="shared" si="5"/>
        <v>1</v>
      </c>
    </row>
    <row r="73" spans="1:14" x14ac:dyDescent="0.2">
      <c r="A73" s="255" t="str">
        <f>výpočty!$R$14</f>
        <v>Függőleges (fentről le)</v>
      </c>
      <c r="B73" s="256" t="str">
        <f>výpočty!$R$9</f>
        <v>Hátra</v>
      </c>
      <c r="C73" t="str">
        <f>výpočty!$R$7</f>
        <v>Ráütődő metallic-line vezetéssel 29mm és C3 mech.</v>
      </c>
      <c r="D73" s="36" t="str">
        <f>výpočty!$W$10</f>
        <v>Nyír (E23)</v>
      </c>
      <c r="E73" t="s">
        <v>2131</v>
      </c>
      <c r="F73">
        <v>1</v>
      </c>
      <c r="G73" s="321" t="str">
        <f>Překlady!$A$146</f>
        <v xml:space="preserve"> Ráütődő metallic-line vezetéssel 29mm és C3 mech.,kombinálható csak tekercseléses vezetéssel a C3 mechanikára.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 xml:space="preserve"> Ráütődő metallic-line vezetéssel 29mm és C3 mech.,kombinálható csak tekercseléses vezetéssel a C3 mechanikára.</v>
      </c>
      <c r="N73">
        <f t="shared" si="5"/>
        <v>1</v>
      </c>
    </row>
    <row r="74" spans="1:14" x14ac:dyDescent="0.2">
      <c r="A74" s="255" t="str">
        <f>výpočty!$R$14</f>
        <v>Függőleges (fentről le)</v>
      </c>
      <c r="B74" s="256" t="str">
        <f>výpočty!$R$9</f>
        <v>Hátra</v>
      </c>
      <c r="C74" t="str">
        <f>výpočty!$R$7</f>
        <v>Ráütődő metallic-line vezetéssel 29mm és C3 mech.</v>
      </c>
      <c r="D74" s="36" t="str">
        <f>výpočty!$W$11</f>
        <v>Cseresznye havana (E23)</v>
      </c>
      <c r="E74" t="s">
        <v>2131</v>
      </c>
      <c r="F74">
        <v>1</v>
      </c>
      <c r="G74" s="321" t="str">
        <f>Překlady!$A$146</f>
        <v xml:space="preserve"> Ráütődő metallic-line vezetéssel 29mm és C3 mech.,kombinálható csak tekercseléses vezetéssel a C3 mechanikára.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 xml:space="preserve"> Ráütődő metallic-line vezetéssel 29mm és C3 mech.,kombinálható csak tekercseléses vezetéssel a C3 mechanikára.</v>
      </c>
      <c r="N74">
        <f t="shared" si="5"/>
        <v>1</v>
      </c>
    </row>
    <row r="75" spans="1:14" x14ac:dyDescent="0.2">
      <c r="A75" s="255" t="str">
        <f>výpočty!$R$14</f>
        <v>Függőleges (fentről le)</v>
      </c>
      <c r="B75" s="256" t="str">
        <f>výpočty!$R$9</f>
        <v>Hátra</v>
      </c>
      <c r="C75" t="str">
        <f>výpočty!$R$7</f>
        <v>Ráütődő metallic-line vezetéssel 29mm és C3 mech.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 xml:space="preserve"> Ráütődő metallic-line vezetéssel 29mm és C3 mech.,kombinálható csak tekercseléses vezetéssel a C3 mechanikára.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 xml:space="preserve"> Ráütődő metallic-line vezetéssel 29mm és C3 mech.,kombinálható csak tekercseléses vezetéssel a C3 mechanikára.</v>
      </c>
      <c r="N75">
        <f t="shared" si="5"/>
        <v>1</v>
      </c>
    </row>
    <row r="76" spans="1:14" x14ac:dyDescent="0.2">
      <c r="A76" s="255" t="str">
        <f>výpočty!$R$14</f>
        <v>Függőleges (fentről le)</v>
      </c>
      <c r="B76" s="256" t="str">
        <f>výpočty!$R$9</f>
        <v>Hátra</v>
      </c>
      <c r="C76" t="str">
        <f>výpočty!$R$7</f>
        <v>Ráütődő metallic-line vezetéssel 29mm és C3 mech.</v>
      </c>
      <c r="D76" s="36" t="str">
        <f>výpočty!$W$14</f>
        <v>Hófehér Matt (E9)</v>
      </c>
      <c r="E76" t="s">
        <v>2131</v>
      </c>
      <c r="F76">
        <v>1</v>
      </c>
      <c r="G76" s="321" t="str">
        <f>Překlady!$A$142</f>
        <v>Az E9 profilnál a világos fehér kombinálható csak a Classic és a Top vezetésnél.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Az E9 profilnál a világos fehér kombinálható csak a Classic és a Top vezetésnél.</v>
      </c>
      <c r="N76">
        <f t="shared" si="5"/>
        <v>1</v>
      </c>
    </row>
    <row r="77" spans="1:14" x14ac:dyDescent="0.2">
      <c r="A77" s="255" t="str">
        <f>výpočty!$R$14</f>
        <v>Függőleges (fentről le)</v>
      </c>
      <c r="B77" s="256" t="str">
        <f>výpočty!$R$9</f>
        <v>Hátra</v>
      </c>
      <c r="C77" t="str">
        <f>výpočty!$R$7</f>
        <v>Ráütődő metallic-line vezetéssel 29mm és C3 mech.</v>
      </c>
      <c r="D77" s="36" t="str">
        <f>výpočty!$W$15</f>
        <v>Alumínium-műanyag (E4)</v>
      </c>
      <c r="E77" t="s">
        <v>2131</v>
      </c>
      <c r="F77">
        <v>1</v>
      </c>
      <c r="G77" s="321" t="str">
        <f>Překlady!$A$143</f>
        <v xml:space="preserve"> E4 profil az alumínium műanyag színes elkészítése, alkalmas a vízszintes vezetésre,kombinálva a Classic vezetéssel,hátra tekercseléssel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 xml:space="preserve"> E4 profil az alumínium műanyag színes elkészítése, alkalmas a vízszintes vezetésre,kombinálva a Classic vezetéssel,hátra tekercseléssel</v>
      </c>
      <c r="N77">
        <f t="shared" si="5"/>
        <v>1</v>
      </c>
    </row>
    <row r="78" spans="1:14" x14ac:dyDescent="0.2">
      <c r="A78" s="255" t="str">
        <f>výpočty!$R$14</f>
        <v>Függőleges (fentről le)</v>
      </c>
      <c r="B78" s="256" t="str">
        <f>výpočty!$R$9</f>
        <v>Hátra</v>
      </c>
      <c r="C78" t="str">
        <f>výpočty!$R$7</f>
        <v>Ráütődő metallic-line vezetéssel 29mm és C3 mech.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 xml:space="preserve"> Ráütődő metallic-line vezetéssel 29mm és C3 mech.,kombinálható csak tekercseléses vezetéssel a C3 mechanikára.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 xml:space="preserve"> Ráütődő metallic-line vezetéssel 29mm és C3 mech.,kombinálható csak tekercseléses vezetéssel a C3 mechanikára.</v>
      </c>
      <c r="N78">
        <f t="shared" si="5"/>
        <v>0</v>
      </c>
    </row>
    <row r="79" spans="1:14" x14ac:dyDescent="0.2">
      <c r="A79" s="255" t="str">
        <f>výpočty!$R$14</f>
        <v>Függőleges (fentről le)</v>
      </c>
      <c r="B79" s="256" t="str">
        <f>výpočty!$R$9</f>
        <v>Hátra</v>
      </c>
      <c r="C79" t="str">
        <f>výpočty!$R$7</f>
        <v>Ráütődő metallic-line vezetéssel 29mm és C3 mech.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 xml:space="preserve"> Ráütődő metallic-line vezetéssel 29mm és C3 mech.,kombinálható csak tekercseléses vezetéssel a C3 mechanikára.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 xml:space="preserve"> Ráütődő metallic-line vezetéssel 29mm és C3 mech.,kombinálható csak tekercseléses vezetéssel a C3 mechanikára.</v>
      </c>
      <c r="N79">
        <f t="shared" si="5"/>
        <v>0</v>
      </c>
    </row>
    <row r="80" spans="1:14" x14ac:dyDescent="0.2">
      <c r="A80" s="255" t="str">
        <f>výpočty!$R$14</f>
        <v>Függőleges (fentről le)</v>
      </c>
      <c r="B80" s="256" t="str">
        <f>výpočty!$R$9</f>
        <v>Hátra</v>
      </c>
      <c r="C80" t="str">
        <f>výpočty!$R$7</f>
        <v>Ráütődő metallic-line vezetéssel 29mm és C3 mech.</v>
      </c>
      <c r="D80" s="36" t="str">
        <f>výpočty!$W$19</f>
        <v>ALU szélesség 25 mm (metallic-line)</v>
      </c>
      <c r="E80" s="321" t="s">
        <v>2131</v>
      </c>
      <c r="F80">
        <v>0</v>
      </c>
      <c r="G80" s="321" t="str">
        <f>Překlady!$A$146</f>
        <v xml:space="preserve"> Ráütődő metallic-line vezetéssel 29mm és C3 mech.,kombinálható csak tekercseléses vezetéssel a C3 mechanikára.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 xml:space="preserve"> Ráütődő metallic-line vezetéssel 29mm és C3 mech.,kombinálható csak tekercseléses vezetéssel a C3 mechanikára.</v>
      </c>
      <c r="N80">
        <f t="shared" si="5"/>
        <v>0</v>
      </c>
    </row>
    <row r="81" spans="1:14" ht="13.5" thickBot="1" x14ac:dyDescent="0.25">
      <c r="A81" s="255" t="str">
        <f>výpočty!$R$14</f>
        <v>Függőleges (fentről le)</v>
      </c>
      <c r="B81" s="256" t="str">
        <f>výpočty!$R$9</f>
        <v>Hátra</v>
      </c>
      <c r="C81" t="str">
        <f>výpočty!$R$7</f>
        <v>Ráütődő metallic-line vezetéssel 29mm és C3 mech.</v>
      </c>
      <c r="D81" s="27" t="str">
        <f>výpočty!$W$20</f>
        <v>Nemes acél szélesség 25 mm (metallic-line)</v>
      </c>
      <c r="E81" s="321" t="s">
        <v>2131</v>
      </c>
      <c r="F81">
        <v>0</v>
      </c>
      <c r="G81" s="321" t="str">
        <f>Překlady!$A$146</f>
        <v xml:space="preserve"> Ráütődő metallic-line vezetéssel 29mm és C3 mech.,kombinálható csak tekercseléses vezetéssel a C3 mechanikára.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 xml:space="preserve"> Ráütődő metallic-line vezetéssel 29mm és C3 mech.,kombinálható csak tekercseléses vezetéssel a C3 mechanikára.</v>
      </c>
      <c r="N81">
        <f t="shared" si="5"/>
        <v>0</v>
      </c>
    </row>
    <row r="82" spans="1:14" x14ac:dyDescent="0.2">
      <c r="A82" s="255" t="str">
        <f>výpočty!$R$14</f>
        <v>Függőleges (fentről le)</v>
      </c>
      <c r="B82" s="256" t="str">
        <f>výpočty!$R$10</f>
        <v>Csigába</v>
      </c>
      <c r="C82" t="str">
        <f>výpočty!$R$3</f>
        <v>TOP basic-közézáródó vezetés csavarozásra műanyag</v>
      </c>
      <c r="D82" s="26" t="str">
        <f>výpočty!$W$3</f>
        <v>Fekete (E23)</v>
      </c>
      <c r="E82" t="s">
        <v>2131</v>
      </c>
      <c r="F82">
        <v>1</v>
      </c>
      <c r="G82" t="str">
        <f>Překlady!$A$147</f>
        <v xml:space="preserve"> TOP BASIC vezetésü rendszer nem kombinálható a csiga vezetéssel.Javasoljuk a TOP vezetésű verzió kiválasztását.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 xml:space="preserve"> TOP BASIC vezetésü rendszer nem kombinálható a csiga vezetéssel.Javasoljuk a TOP vezetésű verzió kiválasztását.</v>
      </c>
      <c r="N82">
        <f t="shared" si="5"/>
        <v>1</v>
      </c>
    </row>
    <row r="83" spans="1:14" x14ac:dyDescent="0.2">
      <c r="A83" s="255" t="str">
        <f>výpočty!$R$14</f>
        <v>Függőleges (fentről le)</v>
      </c>
      <c r="B83" s="256" t="str">
        <f>výpočty!$R$10</f>
        <v>Csigába</v>
      </c>
      <c r="C83" t="str">
        <f>výpočty!$R$3</f>
        <v>TOP basic-közézáródó vezetés csavarozásra műanyag</v>
      </c>
      <c r="D83" s="36" t="str">
        <f>výpočty!$W$4</f>
        <v>Fehér (E23)</v>
      </c>
      <c r="E83" t="s">
        <v>2131</v>
      </c>
      <c r="F83">
        <v>1</v>
      </c>
      <c r="G83" t="str">
        <f>Překlady!$A$147</f>
        <v xml:space="preserve"> TOP BASIC vezetésü rendszer nem kombinálható a csiga vezetéssel.Javasoljuk a TOP vezetésű verzió kiválasztását.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 xml:space="preserve"> TOP BASIC vezetésü rendszer nem kombinálható a csiga vezetéssel.Javasoljuk a TOP vezetésű verzió kiválasztását.</v>
      </c>
      <c r="N83">
        <f t="shared" si="5"/>
        <v>1</v>
      </c>
    </row>
    <row r="84" spans="1:14" x14ac:dyDescent="0.2">
      <c r="A84" s="255" t="str">
        <f>výpočty!$R$14</f>
        <v>Függőleges (fentről le)</v>
      </c>
      <c r="B84" s="256" t="str">
        <f>výpočty!$R$10</f>
        <v>Csigába</v>
      </c>
      <c r="C84" t="str">
        <f>výpočty!$R$3</f>
        <v>TOP basic-közézáródó vezetés csavarozásra műanyag</v>
      </c>
      <c r="D84" s="36" t="str">
        <f>výpočty!$W$5</f>
        <v>Szürke (E23)</v>
      </c>
      <c r="E84" t="s">
        <v>2131</v>
      </c>
      <c r="F84">
        <v>1</v>
      </c>
      <c r="G84" t="str">
        <f>Překlady!$A$147</f>
        <v xml:space="preserve"> TOP BASIC vezetésü rendszer nem kombinálható a csiga vezetéssel.Javasoljuk a TOP vezetésű verzió kiválasztását.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 xml:space="preserve"> TOP BASIC vezetésü rendszer nem kombinálható a csiga vezetéssel.Javasoljuk a TOP vezetésű verzió kiválasztását.</v>
      </c>
      <c r="N84">
        <f t="shared" si="5"/>
        <v>1</v>
      </c>
    </row>
    <row r="85" spans="1:14" x14ac:dyDescent="0.2">
      <c r="A85" s="255" t="str">
        <f>výpočty!$R$14</f>
        <v>Függőleges (fentről le)</v>
      </c>
      <c r="B85" s="256" t="str">
        <f>výpočty!$R$10</f>
        <v>Csigába</v>
      </c>
      <c r="C85" t="str">
        <f>výpočty!$R$3</f>
        <v>TOP basic-közézáródó vezetés csavarozásra műanyag</v>
      </c>
      <c r="D85" s="36" t="str">
        <f>výpočty!$W$6</f>
        <v>Alumínium-műanyag (E23)</v>
      </c>
      <c r="E85" t="s">
        <v>2131</v>
      </c>
      <c r="F85">
        <v>1</v>
      </c>
      <c r="G85" t="str">
        <f>Překlady!$A$147</f>
        <v xml:space="preserve"> TOP BASIC vezetésü rendszer nem kombinálható a csiga vezetéssel.Javasoljuk a TOP vezetésű verzió kiválasztását.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 xml:space="preserve"> TOP BASIC vezetésü rendszer nem kombinálható a csiga vezetéssel.Javasoljuk a TOP vezetésű verzió kiválasztását.</v>
      </c>
      <c r="N85">
        <f t="shared" si="5"/>
        <v>1</v>
      </c>
    </row>
    <row r="86" spans="1:14" x14ac:dyDescent="0.2">
      <c r="A86" s="255" t="str">
        <f>výpočty!$R$14</f>
        <v>Függőleges (fentről le)</v>
      </c>
      <c r="B86" s="256" t="str">
        <f>výpočty!$R$10</f>
        <v>Csigába</v>
      </c>
      <c r="C86" t="str">
        <f>výpočty!$R$3</f>
        <v>TOP basic-közézáródó vezetés csavarozásra műanyag</v>
      </c>
      <c r="D86" s="36" t="str">
        <f>výpočty!$W$7</f>
        <v>Bükk (E23)</v>
      </c>
      <c r="E86" t="s">
        <v>2131</v>
      </c>
      <c r="F86">
        <v>1</v>
      </c>
      <c r="G86" t="str">
        <f>Překlady!$A$147</f>
        <v xml:space="preserve"> TOP BASIC vezetésü rendszer nem kombinálható a csiga vezetéssel.Javasoljuk a TOP vezetésű verzió kiválasztását.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 xml:space="preserve"> TOP BASIC vezetésü rendszer nem kombinálható a csiga vezetéssel.Javasoljuk a TOP vezetésű verzió kiválasztását.</v>
      </c>
      <c r="N86">
        <f t="shared" si="5"/>
        <v>1</v>
      </c>
    </row>
    <row r="87" spans="1:14" x14ac:dyDescent="0.2">
      <c r="A87" s="255" t="str">
        <f>výpočty!$R$14</f>
        <v>Függőleges (fentről le)</v>
      </c>
      <c r="B87" s="256" t="str">
        <f>výpočty!$R$10</f>
        <v>Csigába</v>
      </c>
      <c r="C87" t="str">
        <f>výpočty!$R$3</f>
        <v>TOP basic-közézáródó vezetés csavarozásra műanyag</v>
      </c>
      <c r="D87" s="36" t="str">
        <f>výpočty!$W$8</f>
        <v>Cseresznye (E23)</v>
      </c>
      <c r="E87" t="s">
        <v>2131</v>
      </c>
      <c r="F87">
        <v>1</v>
      </c>
      <c r="G87" t="str">
        <f>Překlady!$A$147</f>
        <v xml:space="preserve"> TOP BASIC vezetésü rendszer nem kombinálható a csiga vezetéssel.Javasoljuk a TOP vezetésű verzió kiválasztását.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 xml:space="preserve"> TOP BASIC vezetésü rendszer nem kombinálható a csiga vezetéssel.Javasoljuk a TOP vezetésű verzió kiválasztását.</v>
      </c>
      <c r="N87">
        <f t="shared" si="5"/>
        <v>1</v>
      </c>
    </row>
    <row r="88" spans="1:14" x14ac:dyDescent="0.2">
      <c r="A88" s="255" t="str">
        <f>výpočty!$R$14</f>
        <v>Függőleges (fentről le)</v>
      </c>
      <c r="B88" s="256" t="str">
        <f>výpočty!$R$10</f>
        <v>Csigába</v>
      </c>
      <c r="C88" t="str">
        <f>výpočty!$R$3</f>
        <v>TOP basic-közézáródó vezetés csavarozásra műanyag</v>
      </c>
      <c r="D88" s="36" t="str">
        <f>výpočty!$W$9</f>
        <v>Jávor (E23)</v>
      </c>
      <c r="E88" t="s">
        <v>2131</v>
      </c>
      <c r="F88">
        <v>1</v>
      </c>
      <c r="G88" t="str">
        <f>Překlady!$A$147</f>
        <v xml:space="preserve"> TOP BASIC vezetésü rendszer nem kombinálható a csiga vezetéssel.Javasoljuk a TOP vezetésű verzió kiválasztását.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 xml:space="preserve"> TOP BASIC vezetésü rendszer nem kombinálható a csiga vezetéssel.Javasoljuk a TOP vezetésű verzió kiválasztását.</v>
      </c>
      <c r="N88">
        <f t="shared" si="5"/>
        <v>1</v>
      </c>
    </row>
    <row r="89" spans="1:14" x14ac:dyDescent="0.2">
      <c r="A89" s="255" t="str">
        <f>výpočty!$R$14</f>
        <v>Függőleges (fentről le)</v>
      </c>
      <c r="B89" s="256" t="str">
        <f>výpočty!$R$10</f>
        <v>Csigába</v>
      </c>
      <c r="C89" t="str">
        <f>výpočty!$R$3</f>
        <v>TOP basic-közézáródó vezetés csavarozásra műanyag</v>
      </c>
      <c r="D89" s="36" t="str">
        <f>výpočty!$W$10</f>
        <v>Nyír (E23)</v>
      </c>
      <c r="E89" t="s">
        <v>2131</v>
      </c>
      <c r="F89">
        <v>1</v>
      </c>
      <c r="G89" t="str">
        <f>Překlady!$A$147</f>
        <v xml:space="preserve"> TOP BASIC vezetésü rendszer nem kombinálható a csiga vezetéssel.Javasoljuk a TOP vezetésű verzió kiválasztását.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 xml:space="preserve"> TOP BASIC vezetésü rendszer nem kombinálható a csiga vezetéssel.Javasoljuk a TOP vezetésű verzió kiválasztását.</v>
      </c>
      <c r="N89">
        <f t="shared" si="5"/>
        <v>1</v>
      </c>
    </row>
    <row r="90" spans="1:14" x14ac:dyDescent="0.2">
      <c r="A90" s="255" t="str">
        <f>výpočty!$R$14</f>
        <v>Függőleges (fentről le)</v>
      </c>
      <c r="B90" s="256" t="str">
        <f>výpočty!$R$10</f>
        <v>Csigába</v>
      </c>
      <c r="C90" t="str">
        <f>výpočty!$R$3</f>
        <v>TOP basic-közézáródó vezetés csavarozásra műanyag</v>
      </c>
      <c r="D90" s="36" t="str">
        <f>výpočty!$W$11</f>
        <v>Cseresznye havana (E23)</v>
      </c>
      <c r="E90" t="s">
        <v>2131</v>
      </c>
      <c r="F90">
        <v>1</v>
      </c>
      <c r="G90" t="str">
        <f>Překlady!$A$147</f>
        <v xml:space="preserve"> TOP BASIC vezetésü rendszer nem kombinálható a csiga vezetéssel.Javasoljuk a TOP vezetésű verzió kiválasztását.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 xml:space="preserve"> TOP BASIC vezetésü rendszer nem kombinálható a csiga vezetéssel.Javasoljuk a TOP vezetésű verzió kiválasztását.</v>
      </c>
      <c r="N90">
        <f t="shared" si="5"/>
        <v>1</v>
      </c>
    </row>
    <row r="91" spans="1:14" x14ac:dyDescent="0.2">
      <c r="A91" s="255" t="str">
        <f>výpočty!$R$14</f>
        <v>Függőleges (fentről le)</v>
      </c>
      <c r="B91" s="256" t="str">
        <f>výpočty!$R$10</f>
        <v>Csigába</v>
      </c>
      <c r="C91" t="str">
        <f>výpočty!$R$3</f>
        <v>TOP basic-közézáródó vezetés csavarozásra műanyag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 xml:space="preserve"> TOP BASIC vezetésü rendszer nem kombinálható a csiga vezetéssel.Javasoljuk a TOP vezetésű verzió kiválasztását.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 xml:space="preserve"> TOP BASIC vezetésü rendszer nem kombinálható a csiga vezetéssel.Javasoljuk a TOP vezetésű verzió kiválasztását.</v>
      </c>
      <c r="N91">
        <f t="shared" si="5"/>
        <v>1</v>
      </c>
    </row>
    <row r="92" spans="1:14" x14ac:dyDescent="0.2">
      <c r="A92" s="255" t="str">
        <f>výpočty!$R$14</f>
        <v>Függőleges (fentről le)</v>
      </c>
      <c r="B92" s="256" t="str">
        <f>výpočty!$R$10</f>
        <v>Csigába</v>
      </c>
      <c r="C92" t="str">
        <f>výpočty!$R$3</f>
        <v>TOP basic-közézáródó vezetés csavarozásra műanyag</v>
      </c>
      <c r="D92" s="36" t="str">
        <f>výpočty!$W$14</f>
        <v>Hófehér Matt (E9)</v>
      </c>
      <c r="E92" t="s">
        <v>2131</v>
      </c>
      <c r="F92">
        <v>1</v>
      </c>
      <c r="G92" s="321" t="str">
        <f>Překlady!$A$142</f>
        <v>Az E9 profilnál a világos fehér kombinálható csak a Classic és a Top vezetésnél.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Az E9 profilnál a világos fehér kombinálható csak a Classic és a Top vezetésnél.</v>
      </c>
      <c r="N92">
        <f t="shared" si="5"/>
        <v>1</v>
      </c>
    </row>
    <row r="93" spans="1:14" x14ac:dyDescent="0.2">
      <c r="A93" s="255" t="str">
        <f>výpočty!$R$14</f>
        <v>Függőleges (fentről le)</v>
      </c>
      <c r="B93" s="256" t="str">
        <f>výpočty!$R$10</f>
        <v>Csigába</v>
      </c>
      <c r="C93" t="str">
        <f>výpočty!$R$3</f>
        <v>TOP basic-közézáródó vezetés csavarozásra műanyag</v>
      </c>
      <c r="D93" s="36" t="str">
        <f>výpočty!$W$15</f>
        <v>Alumínium-műanyag (E4)</v>
      </c>
      <c r="E93" t="s">
        <v>2131</v>
      </c>
      <c r="F93">
        <v>1</v>
      </c>
      <c r="G93" s="321" t="str">
        <f>Překlady!$A$143</f>
        <v xml:space="preserve"> E4 profil az alumínium műanyag színes elkészítése, alkalmas a vízszintes vezetésre,kombinálva a Classic vezetéssel,hátra tekercseléssel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 xml:space="preserve"> E4 profil az alumínium műanyag színes elkészítése, alkalmas a vízszintes vezetésre,kombinálva a Classic vezetéssel,hátra tekercseléssel</v>
      </c>
      <c r="N93">
        <f t="shared" si="5"/>
        <v>1</v>
      </c>
    </row>
    <row r="94" spans="1:14" x14ac:dyDescent="0.2">
      <c r="A94" s="255" t="str">
        <f>výpočty!$R$14</f>
        <v>Függőleges (fentről le)</v>
      </c>
      <c r="B94" s="256" t="str">
        <f>výpočty!$R$10</f>
        <v>Csigába</v>
      </c>
      <c r="C94" t="str">
        <f>výpočty!$R$3</f>
        <v>TOP basic-közézáródó vezetés csavarozásra műanyag</v>
      </c>
      <c r="D94" s="36">
        <f>výpočty!$W$17</f>
        <v>0</v>
      </c>
      <c r="E94" t="s">
        <v>2131</v>
      </c>
      <c r="F94">
        <v>1</v>
      </c>
      <c r="G94" t="str">
        <f>Překlady!$A$147</f>
        <v xml:space="preserve"> TOP BASIC vezetésü rendszer nem kombinálható a csiga vezetéssel.Javasoljuk a TOP vezetésű verzió kiválasztását.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 xml:space="preserve"> TOP BASIC vezetésü rendszer nem kombinálható a csiga vezetéssel.Javasoljuk a TOP vezetésű verzió kiválasztását.</v>
      </c>
      <c r="N94">
        <f t="shared" si="5"/>
        <v>1</v>
      </c>
    </row>
    <row r="95" spans="1:14" x14ac:dyDescent="0.2">
      <c r="A95" s="255" t="str">
        <f>výpočty!$R$14</f>
        <v>Függőleges (fentről le)</v>
      </c>
      <c r="B95" s="256" t="str">
        <f>výpočty!$R$10</f>
        <v>Csigába</v>
      </c>
      <c r="C95" t="str">
        <f>výpočty!$R$3</f>
        <v>TOP basic-közézáródó vezetés csavarozásra műanyag</v>
      </c>
      <c r="D95" s="36">
        <f>výpočty!$W$18</f>
        <v>0</v>
      </c>
      <c r="E95" t="s">
        <v>2131</v>
      </c>
      <c r="F95">
        <v>1</v>
      </c>
      <c r="G95" t="str">
        <f>Překlady!$A$147</f>
        <v xml:space="preserve"> TOP BASIC vezetésü rendszer nem kombinálható a csiga vezetéssel.Javasoljuk a TOP vezetésű verzió kiválasztását.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 xml:space="preserve"> TOP BASIC vezetésü rendszer nem kombinálható a csiga vezetéssel.Javasoljuk a TOP vezetésű verzió kiválasztását.</v>
      </c>
      <c r="N95">
        <f t="shared" si="5"/>
        <v>1</v>
      </c>
    </row>
    <row r="96" spans="1:14" x14ac:dyDescent="0.2">
      <c r="A96" s="255" t="str">
        <f>výpočty!$R$14</f>
        <v>Függőleges (fentről le)</v>
      </c>
      <c r="B96" s="256" t="str">
        <f>výpočty!$R$10</f>
        <v>Csigába</v>
      </c>
      <c r="C96" t="str">
        <f>výpočty!$R$3</f>
        <v>TOP basic-közézáródó vezetés csavarozásra műanyag</v>
      </c>
      <c r="D96" s="36" t="str">
        <f>výpočty!$W$19</f>
        <v>ALU szélesség 25 mm (metallic-line)</v>
      </c>
      <c r="E96" t="s">
        <v>2131</v>
      </c>
      <c r="F96">
        <v>1</v>
      </c>
      <c r="G96" t="str">
        <f>Překlady!$A$147</f>
        <v xml:space="preserve"> TOP BASIC vezetésü rendszer nem kombinálható a csiga vezetéssel.Javasoljuk a TOP vezetésű verzió kiválasztását.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 xml:space="preserve"> TOP BASIC vezetésü rendszer nem kombinálható a csiga vezetéssel.Javasoljuk a TOP vezetésű verzió kiválasztását.</v>
      </c>
      <c r="N96">
        <f t="shared" si="5"/>
        <v>1</v>
      </c>
    </row>
    <row r="97" spans="1:14" ht="13.5" thickBot="1" x14ac:dyDescent="0.25">
      <c r="A97" s="255" t="str">
        <f>výpočty!$R$14</f>
        <v>Függőleges (fentről le)</v>
      </c>
      <c r="B97" s="256" t="str">
        <f>výpočty!$R$10</f>
        <v>Csigába</v>
      </c>
      <c r="C97" t="str">
        <f>výpočty!$R$3</f>
        <v>TOP basic-közézáródó vezetés csavarozásra műanyag</v>
      </c>
      <c r="D97" s="27" t="str">
        <f>výpočty!$W$20</f>
        <v>Nemes acél szélesség 25 mm (metallic-line)</v>
      </c>
      <c r="E97" t="s">
        <v>2131</v>
      </c>
      <c r="F97">
        <v>1</v>
      </c>
      <c r="G97" t="str">
        <f>Překlady!$A$147</f>
        <v xml:space="preserve"> TOP BASIC vezetésü rendszer nem kombinálható a csiga vezetéssel.Javasoljuk a TOP vezetésű verzió kiválasztását.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 xml:space="preserve"> TOP BASIC vezetésü rendszer nem kombinálható a csiga vezetéssel.Javasoljuk a TOP vezetésű verzió kiválasztását.</v>
      </c>
      <c r="N97">
        <f t="shared" si="5"/>
        <v>1</v>
      </c>
    </row>
    <row r="98" spans="1:14" x14ac:dyDescent="0.2">
      <c r="A98" s="255" t="str">
        <f>výpočty!$R$14</f>
        <v>Függőleges (fentről le)</v>
      </c>
      <c r="B98" s="256" t="str">
        <f>výpočty!$R$10</f>
        <v>Csigába</v>
      </c>
      <c r="C98" t="str">
        <f>výpočty!$R$4</f>
        <v>Classic - közézáródó vezetés bemarásra</v>
      </c>
      <c r="D98" s="26" t="str">
        <f>výpočty!$W$3</f>
        <v>Fekete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Függőleges (fentről le)</v>
      </c>
      <c r="B99" s="256" t="str">
        <f>výpočty!$R$10</f>
        <v>Csigába</v>
      </c>
      <c r="C99" t="str">
        <f>výpočty!$R$4</f>
        <v>Classic - közézáródó vezetés bemarásra</v>
      </c>
      <c r="D99" s="36" t="str">
        <f>výpočty!$W$4</f>
        <v>Fehér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Függőleges (fentről le)</v>
      </c>
      <c r="B100" s="256" t="str">
        <f>výpočty!$R$10</f>
        <v>Csigába</v>
      </c>
      <c r="C100" t="str">
        <f>výpočty!$R$4</f>
        <v>Classic - közézáródó vezetés bemarásra</v>
      </c>
      <c r="D100" s="36" t="str">
        <f>výpočty!$W$5</f>
        <v>Szürke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Függőleges (fentről le)</v>
      </c>
      <c r="B101" s="256" t="str">
        <f>výpočty!$R$10</f>
        <v>Csigába</v>
      </c>
      <c r="C101" t="str">
        <f>výpočty!$R$4</f>
        <v>Classic - közézáródó vezetés bemarásra</v>
      </c>
      <c r="D101" s="36" t="str">
        <f>výpočty!$W$6</f>
        <v>Alumínium-műanyag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Függőleges (fentről le)</v>
      </c>
      <c r="B102" s="256" t="str">
        <f>výpočty!$R$10</f>
        <v>Csigába</v>
      </c>
      <c r="C102" t="str">
        <f>výpočty!$R$4</f>
        <v>Classic - közézáródó vezetés bemarásra</v>
      </c>
      <c r="D102" s="36" t="str">
        <f>výpočty!$W$7</f>
        <v>Bükk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Függőleges (fentről le)</v>
      </c>
      <c r="B103" s="256" t="str">
        <f>výpočty!$R$10</f>
        <v>Csigába</v>
      </c>
      <c r="C103" t="str">
        <f>výpočty!$R$4</f>
        <v>Classic - közézáródó vezetés bemarásra</v>
      </c>
      <c r="D103" s="36" t="str">
        <f>výpočty!$W$8</f>
        <v>Cseresznye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Függőleges (fentről le)</v>
      </c>
      <c r="B104" s="256" t="str">
        <f>výpočty!$R$10</f>
        <v>Csigába</v>
      </c>
      <c r="C104" t="str">
        <f>výpočty!$R$4</f>
        <v>Classic - közézáródó vezetés bemarásra</v>
      </c>
      <c r="D104" s="36" t="str">
        <f>výpočty!$W$9</f>
        <v>Jávor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Függőleges (fentről le)</v>
      </c>
      <c r="B105" s="256" t="str">
        <f>výpočty!$R$10</f>
        <v>Csigába</v>
      </c>
      <c r="C105" t="str">
        <f>výpočty!$R$4</f>
        <v>Classic - közézáródó vezetés bemarásra</v>
      </c>
      <c r="D105" s="36" t="str">
        <f>výpočty!$W$10</f>
        <v>Nyír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Függőleges (fentről le)</v>
      </c>
      <c r="B106" s="256" t="str">
        <f>výpočty!$R$10</f>
        <v>Csigába</v>
      </c>
      <c r="C106" t="str">
        <f>výpočty!$R$4</f>
        <v>Classic - közézáródó vezetés bemarásra</v>
      </c>
      <c r="D106" s="36" t="str">
        <f>výpočty!$W$11</f>
        <v>Cseresznye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Függőleges (fentről le)</v>
      </c>
      <c r="B107" s="256" t="str">
        <f>výpočty!$R$10</f>
        <v>Csigába</v>
      </c>
      <c r="C107" t="str">
        <f>výpočty!$R$4</f>
        <v>Classic - közézáródó vezetés bemarásra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Függőleges (fentről le)</v>
      </c>
      <c r="B108" s="256" t="str">
        <f>výpočty!$R$10</f>
        <v>Csigába</v>
      </c>
      <c r="C108" t="str">
        <f>výpočty!$R$4</f>
        <v>Classic - közézáródó vezetés bemarásra</v>
      </c>
      <c r="D108" s="350" t="str">
        <f>výpočty!$W$14</f>
        <v>Hófehér Matt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Függőleges (fentről le)</v>
      </c>
      <c r="B109" s="256" t="str">
        <f>výpočty!$R$10</f>
        <v>Csigába</v>
      </c>
      <c r="C109" t="str">
        <f>výpočty!$R$4</f>
        <v>Classic - közézáródó vezetés bemarásra</v>
      </c>
      <c r="D109" s="36" t="str">
        <f>výpočty!$W$15</f>
        <v>Alumínium-műanyag (E4)</v>
      </c>
      <c r="E109" s="321" t="s">
        <v>2131</v>
      </c>
      <c r="F109" s="321">
        <v>1</v>
      </c>
      <c r="G109" s="321" t="str">
        <f>Překlady!$A$143</f>
        <v xml:space="preserve"> E4 profil az alumínium műanyag színes elkészítése, alkalmas a vízszintes vezetésre,kombinálva a Classic vezetéssel,hátra tekercseléssel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 xml:space="preserve"> E4 profil az alumínium műanyag színes elkészítése, alkalmas a vízszintes vezetésre,kombinálva a Classic vezetéssel,hátra tekercseléssel</v>
      </c>
      <c r="N109">
        <f t="shared" si="5"/>
        <v>1</v>
      </c>
    </row>
    <row r="110" spans="1:14" x14ac:dyDescent="0.2">
      <c r="A110" s="255" t="str">
        <f>výpočty!$R$14</f>
        <v>Függőleges (fentről le)</v>
      </c>
      <c r="B110" s="256" t="str">
        <f>výpočty!$R$10</f>
        <v>Csigába</v>
      </c>
      <c r="C110" t="str">
        <f>výpočty!$R$4</f>
        <v>Classic - közézáródó vezetés bemarásra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Függőleges (fentről le)</v>
      </c>
      <c r="B111" s="256" t="str">
        <f>výpočty!$R$10</f>
        <v>Csigába</v>
      </c>
      <c r="C111" t="str">
        <f>výpočty!$R$4</f>
        <v>Classic - közézáródó vezetés bemarásra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Függőleges (fentről le)</v>
      </c>
      <c r="B112" s="256" t="str">
        <f>výpočty!$R$10</f>
        <v>Csigába</v>
      </c>
      <c r="C112" t="str">
        <f>výpočty!$R$4</f>
        <v>Classic - közézáródó vezetés bemarásra</v>
      </c>
      <c r="D112" s="36" t="str">
        <f>výpočty!$W$19</f>
        <v>ALU szélesség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Függőleges (fentről le)</v>
      </c>
      <c r="B113" s="256" t="str">
        <f>výpočty!$R$10</f>
        <v>Csigába</v>
      </c>
      <c r="C113" t="str">
        <f>výpočty!$R$4</f>
        <v>Classic - közézáródó vezetés bemarásra</v>
      </c>
      <c r="D113" s="27" t="str">
        <f>výpočty!$W$20</f>
        <v>Nemes acél szélesség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Függőleges (fentről le)</v>
      </c>
      <c r="B114" s="256" t="str">
        <f>výpočty!$R$10</f>
        <v>Csigába</v>
      </c>
      <c r="C114" t="str">
        <f>výpočty!$R$5</f>
        <v xml:space="preserve">Frame - ráütődő takaró léces vezetéssel </v>
      </c>
      <c r="D114" s="26" t="str">
        <f>výpočty!$W$3</f>
        <v>Fekete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Függőleges (fentről le)</v>
      </c>
      <c r="B115" s="256" t="str">
        <f>výpočty!$R$10</f>
        <v>Csigába</v>
      </c>
      <c r="C115" t="str">
        <f>výpočty!$R$5</f>
        <v xml:space="preserve">Frame - ráütődő takaró léces vezetéssel </v>
      </c>
      <c r="D115" s="36" t="str">
        <f>výpočty!$W$4</f>
        <v>Fehér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Függőleges (fentről le)</v>
      </c>
      <c r="B116" s="256" t="str">
        <f>výpočty!$R$10</f>
        <v>Csigába</v>
      </c>
      <c r="C116" t="str">
        <f>výpočty!$R$5</f>
        <v xml:space="preserve">Frame - ráütődő takaró léces vezetéssel </v>
      </c>
      <c r="D116" s="36" t="str">
        <f>výpočty!$W$5</f>
        <v>Szürke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Függőleges (fentről le)</v>
      </c>
      <c r="B117" s="256" t="str">
        <f>výpočty!$R$10</f>
        <v>Csigába</v>
      </c>
      <c r="C117" t="str">
        <f>výpočty!$R$5</f>
        <v xml:space="preserve">Frame - ráütődő takaró léces vezetéssel </v>
      </c>
      <c r="D117" s="36" t="str">
        <f>výpočty!$W$6</f>
        <v>Alumínium-műanyag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Függőleges (fentről le)</v>
      </c>
      <c r="B118" s="256" t="str">
        <f>výpočty!$R$10</f>
        <v>Csigába</v>
      </c>
      <c r="C118" t="str">
        <f>výpočty!$R$5</f>
        <v xml:space="preserve">Frame - ráütődő takaró léces vezetéssel </v>
      </c>
      <c r="D118" s="36" t="str">
        <f>výpočty!$W$7</f>
        <v>Bükk (E23)</v>
      </c>
      <c r="E118" t="s">
        <v>2131</v>
      </c>
      <c r="F118">
        <v>1</v>
      </c>
      <c r="G118" s="321" t="str">
        <f>Překlady!$A$145</f>
        <v>A Bükk színes elkészítése az E23 profilnál, nem kombinálható a FRAME vezetéssel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A Bükk színes elkészítése az E23 profilnál, nem kombinálható a FRAME vezetéssel</v>
      </c>
      <c r="N118">
        <f t="shared" si="5"/>
        <v>1</v>
      </c>
    </row>
    <row r="119" spans="1:14" x14ac:dyDescent="0.2">
      <c r="A119" s="255" t="str">
        <f>výpočty!$R$14</f>
        <v>Függőleges (fentről le)</v>
      </c>
      <c r="B119" s="256" t="str">
        <f>výpočty!$R$10</f>
        <v>Csigába</v>
      </c>
      <c r="C119" t="str">
        <f>výpočty!$R$5</f>
        <v xml:space="preserve">Frame - ráütődő takaró léces vezetéssel </v>
      </c>
      <c r="D119" s="36" t="str">
        <f>výpočty!$W$8</f>
        <v>Cseresznye (E23)</v>
      </c>
      <c r="E119" t="s">
        <v>2130</v>
      </c>
      <c r="F119">
        <v>1</v>
      </c>
      <c r="G119" t="str">
        <f>Překlady!$A$176</f>
        <v>A Cseresznye színes elkészítése az E23 profilnál, nem kombinálható a FRAME vezetéssel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A Cseresznye színes elkészítése az E23 profilnál, nem kombinálható a FRAME vezetéssel</v>
      </c>
      <c r="N119">
        <f t="shared" si="5"/>
        <v>1</v>
      </c>
    </row>
    <row r="120" spans="1:14" x14ac:dyDescent="0.2">
      <c r="A120" s="255" t="str">
        <f>výpočty!$R$14</f>
        <v>Függőleges (fentről le)</v>
      </c>
      <c r="B120" s="256" t="str">
        <f>výpočty!$R$10</f>
        <v>Csigába</v>
      </c>
      <c r="C120" t="str">
        <f>výpočty!$R$5</f>
        <v xml:space="preserve">Frame - ráütődő takaró léces vezetéssel </v>
      </c>
      <c r="D120" s="36" t="str">
        <f>výpočty!$W$9</f>
        <v>Jávor (E23)</v>
      </c>
      <c r="E120" t="s">
        <v>2130</v>
      </c>
      <c r="F120">
        <v>1</v>
      </c>
      <c r="G120" t="str">
        <f>Překlady!$A$177</f>
        <v>A Jávor színes elkészítése az E23 profilnál, nem kombinálható a FRAME vezetéssel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A Jávor színes elkészítése az E23 profilnál, nem kombinálható a FRAME vezetéssel</v>
      </c>
      <c r="N120">
        <f t="shared" si="5"/>
        <v>1</v>
      </c>
    </row>
    <row r="121" spans="1:14" x14ac:dyDescent="0.2">
      <c r="A121" s="255" t="str">
        <f>výpočty!$R$14</f>
        <v>Függőleges (fentről le)</v>
      </c>
      <c r="B121" s="256" t="str">
        <f>výpočty!$R$10</f>
        <v>Csigába</v>
      </c>
      <c r="C121" t="str">
        <f>výpočty!$R$5</f>
        <v xml:space="preserve">Frame - ráütődő takaró léces vezetéssel </v>
      </c>
      <c r="D121" s="36" t="str">
        <f>výpočty!$W$10</f>
        <v>Nyír (E23)</v>
      </c>
      <c r="E121" t="s">
        <v>2130</v>
      </c>
      <c r="F121">
        <v>1</v>
      </c>
      <c r="G121" t="str">
        <f>Překlady!$A$175</f>
        <v>A Nyír színes elkészítése az E23 profilnál, nem kombinálható a FRAME vezetéssel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A Nyír színes elkészítése az E23 profilnál, nem kombinálható a FRAME vezetéssel</v>
      </c>
      <c r="N121">
        <f t="shared" si="5"/>
        <v>1</v>
      </c>
    </row>
    <row r="122" spans="1:14" x14ac:dyDescent="0.2">
      <c r="A122" s="255" t="str">
        <f>výpočty!$R$14</f>
        <v>Függőleges (fentről le)</v>
      </c>
      <c r="B122" s="256" t="str">
        <f>výpočty!$R$10</f>
        <v>Csigába</v>
      </c>
      <c r="C122" t="str">
        <f>výpočty!$R$5</f>
        <v xml:space="preserve">Frame - ráütődő takaró léces vezetéssel </v>
      </c>
      <c r="D122" s="36" t="str">
        <f>výpočty!$W$11</f>
        <v>Cseresznye havana (E23)</v>
      </c>
      <c r="E122" t="s">
        <v>2130</v>
      </c>
      <c r="F122">
        <v>1</v>
      </c>
      <c r="G122" t="str">
        <f>Překlady!$A$170</f>
        <v>A Cseresznye havana színes elkészítése az E23 profilnál, nem kombinálható a FRAME vezetéssel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A Cseresznye havana színes elkészítése az E23 profilnál, nem kombinálható a FRAME vezetéssel</v>
      </c>
      <c r="N122">
        <f t="shared" si="5"/>
        <v>1</v>
      </c>
    </row>
    <row r="123" spans="1:14" x14ac:dyDescent="0.2">
      <c r="A123" s="255" t="str">
        <f>výpočty!$R$14</f>
        <v>Függőleges (fentről le)</v>
      </c>
      <c r="B123" s="256" t="str">
        <f>výpočty!$R$10</f>
        <v>Csigába</v>
      </c>
      <c r="C123" t="str">
        <f>výpočty!$R$5</f>
        <v xml:space="preserve">Frame - ráütődő takaró léces vezetéssel 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Függőleges (fentről le)</v>
      </c>
      <c r="B124" s="256" t="str">
        <f>výpočty!$R$10</f>
        <v>Csigába</v>
      </c>
      <c r="C124" t="str">
        <f>výpočty!$R$5</f>
        <v xml:space="preserve">Frame - ráütődő takaró léces vezetéssel </v>
      </c>
      <c r="D124" s="36" t="str">
        <f>výpočty!$W$14</f>
        <v>Hófehér Matt (E9)</v>
      </c>
      <c r="E124" s="321" t="s">
        <v>2131</v>
      </c>
      <c r="F124" s="321">
        <v>1</v>
      </c>
      <c r="G124" s="321" t="str">
        <f>Překlady!$A$142</f>
        <v>Az E9 profilnál a világos fehér kombinálható csak a Classic és a Top vezetésnél.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Az E9 profilnál a világos fehér kombinálható csak a Classic és a Top vezetésnél.</v>
      </c>
      <c r="N124">
        <f t="shared" si="5"/>
        <v>1</v>
      </c>
    </row>
    <row r="125" spans="1:14" x14ac:dyDescent="0.2">
      <c r="A125" s="255" t="str">
        <f>výpočty!$R$14</f>
        <v>Függőleges (fentről le)</v>
      </c>
      <c r="B125" s="256" t="str">
        <f>výpočty!$R$10</f>
        <v>Csigába</v>
      </c>
      <c r="C125" t="str">
        <f>výpočty!$R$5</f>
        <v xml:space="preserve">Frame - ráütődő takaró léces vezetéssel </v>
      </c>
      <c r="D125" s="36" t="str">
        <f>výpočty!$W$15</f>
        <v>Alumínium-műanyag (E4)</v>
      </c>
      <c r="E125" t="s">
        <v>2131</v>
      </c>
      <c r="F125">
        <v>1</v>
      </c>
      <c r="G125" s="321" t="str">
        <f>Překlady!$A$143</f>
        <v xml:space="preserve"> E4 profil az alumínium műanyag színes elkészítése, alkalmas a vízszintes vezetésre,kombinálva a Classic vezetéssel,hátra tekercseléssel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 xml:space="preserve"> E4 profil az alumínium műanyag színes elkészítése, alkalmas a vízszintes vezetésre,kombinálva a Classic vezetéssel,hátra tekercseléssel</v>
      </c>
      <c r="N125">
        <f t="shared" si="5"/>
        <v>1</v>
      </c>
    </row>
    <row r="126" spans="1:14" x14ac:dyDescent="0.2">
      <c r="A126" s="255" t="str">
        <f>výpočty!$R$14</f>
        <v>Függőleges (fentről le)</v>
      </c>
      <c r="B126" s="256" t="str">
        <f>výpočty!$R$10</f>
        <v>Csigába</v>
      </c>
      <c r="C126" t="str">
        <f>výpočty!$R$5</f>
        <v xml:space="preserve">Frame - ráütődő takaró léces vezetéssel 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Függőleges (fentről le)</v>
      </c>
      <c r="B127" s="256" t="str">
        <f>výpočty!$R$10</f>
        <v>Csigába</v>
      </c>
      <c r="C127" t="str">
        <f>výpočty!$R$5</f>
        <v xml:space="preserve">Frame - ráütődő takaró léces vezetéssel 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Függőleges (fentről le)</v>
      </c>
      <c r="B128" s="256" t="str">
        <f>výpočty!$R$10</f>
        <v>Csigába</v>
      </c>
      <c r="C128" t="str">
        <f>výpočty!$R$5</f>
        <v xml:space="preserve">Frame - ráütődő takaró léces vezetéssel </v>
      </c>
      <c r="D128" s="36" t="str">
        <f>výpočty!$W$19</f>
        <v>ALU szélesség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Függőleges (fentről le)</v>
      </c>
      <c r="B129" s="256" t="str">
        <f>výpočty!$R$10</f>
        <v>Csigába</v>
      </c>
      <c r="C129" t="str">
        <f>výpočty!$R$5</f>
        <v xml:space="preserve">Frame - ráütődő takaró léces vezetéssel </v>
      </c>
      <c r="D129" s="27" t="str">
        <f>výpočty!$W$20</f>
        <v>Nemes acél szélesség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Függőleges (fentről le)</v>
      </c>
      <c r="B130" s="256" t="str">
        <f>výpočty!$R$10</f>
        <v>Csigába</v>
      </c>
      <c r="C130" t="str">
        <f>výpočty!$R$6</f>
        <v>TOP - közzézáródó vezetés csavarozásra fém takaró léccel</v>
      </c>
      <c r="D130" s="26" t="str">
        <f>výpočty!$W$3</f>
        <v>Fekete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Függőleges (fentről le)</v>
      </c>
      <c r="B131" s="256" t="str">
        <f>výpočty!$R$10</f>
        <v>Csigába</v>
      </c>
      <c r="C131" t="str">
        <f>výpočty!$R$6</f>
        <v>TOP - közzézáródó vezetés csavarozásra fém takaró léccel</v>
      </c>
      <c r="D131" s="36" t="str">
        <f>výpočty!$W$4</f>
        <v>Fehér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Függőleges (fentről le)</v>
      </c>
      <c r="B132" s="256" t="str">
        <f>výpočty!$R$10</f>
        <v>Csigába</v>
      </c>
      <c r="C132" t="str">
        <f>výpočty!$R$6</f>
        <v>TOP - közzézáródó vezetés csavarozásra fém takaró léccel</v>
      </c>
      <c r="D132" s="36" t="str">
        <f>výpočty!$W$5</f>
        <v>Szürke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Függőleges (fentről le)</v>
      </c>
      <c r="B133" s="256" t="str">
        <f>výpočty!$R$10</f>
        <v>Csigába</v>
      </c>
      <c r="C133" t="str">
        <f>výpočty!$R$6</f>
        <v>TOP - közzézáródó vezetés csavarozásra fém takaró léccel</v>
      </c>
      <c r="D133" s="36" t="str">
        <f>výpočty!$W$6</f>
        <v>Alumínium-műanyag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Függőleges (fentről le)</v>
      </c>
      <c r="B134" s="256" t="str">
        <f>výpočty!$R$10</f>
        <v>Csigába</v>
      </c>
      <c r="C134" t="str">
        <f>výpočty!$R$6</f>
        <v>TOP - közzézáródó vezetés csavarozásra fém takaró léccel</v>
      </c>
      <c r="D134" s="36" t="str">
        <f>výpočty!$W$7</f>
        <v>Bükk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Függőleges (fentről le)</v>
      </c>
      <c r="B135" s="256" t="str">
        <f>výpočty!$R$10</f>
        <v>Csigába</v>
      </c>
      <c r="C135" t="str">
        <f>výpočty!$R$6</f>
        <v>TOP - közzézáródó vezetés csavarozásra fém takaró léccel</v>
      </c>
      <c r="D135" s="36" t="str">
        <f>výpočty!$W$8</f>
        <v>Cseresznye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Függőleges (fentről le)</v>
      </c>
      <c r="B136" s="256" t="str">
        <f>výpočty!$R$10</f>
        <v>Csigába</v>
      </c>
      <c r="C136" t="str">
        <f>výpočty!$R$6</f>
        <v>TOP - közzézáródó vezetés csavarozásra fém takaró léccel</v>
      </c>
      <c r="D136" s="36" t="str">
        <f>výpočty!$W$9</f>
        <v>Jávor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Függőleges (fentről le)</v>
      </c>
      <c r="B137" s="256" t="str">
        <f>výpočty!$R$10</f>
        <v>Csigába</v>
      </c>
      <c r="C137" t="str">
        <f>výpočty!$R$6</f>
        <v>TOP - közzézáródó vezetés csavarozásra fém takaró léccel</v>
      </c>
      <c r="D137" s="36" t="str">
        <f>výpočty!$W$10</f>
        <v>Nyír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Függőleges (fentről le)</v>
      </c>
      <c r="B138" s="256" t="str">
        <f>výpočty!$R$10</f>
        <v>Csigába</v>
      </c>
      <c r="C138" t="str">
        <f>výpočty!$R$6</f>
        <v>TOP - közzézáródó vezetés csavarozásra fém takaró léccel</v>
      </c>
      <c r="D138" s="36" t="str">
        <f>výpočty!$W$11</f>
        <v>Cseresznye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Függőleges (fentről le)</v>
      </c>
      <c r="B139" s="256" t="str">
        <f>výpočty!$R$10</f>
        <v>Csigába</v>
      </c>
      <c r="C139" t="str">
        <f>výpočty!$R$6</f>
        <v>TOP - közzézáródó vezetés csavarozásra fém takaró léccel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Függőleges (fentről le)</v>
      </c>
      <c r="B140" s="256" t="str">
        <f>výpočty!$R$10</f>
        <v>Csigába</v>
      </c>
      <c r="C140" t="str">
        <f>výpočty!$R$6</f>
        <v>TOP - közzézáródó vezetés csavarozásra fém takaró léccel</v>
      </c>
      <c r="D140" s="36" t="str">
        <f>výpočty!$W$14</f>
        <v>Hófehér Matt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Függőleges (fentről le)</v>
      </c>
      <c r="B141" s="256" t="str">
        <f>výpočty!$R$10</f>
        <v>Csigába</v>
      </c>
      <c r="C141" t="str">
        <f>výpočty!$R$6</f>
        <v>TOP - közzézáródó vezetés csavarozásra fém takaró léccel</v>
      </c>
      <c r="D141" s="36" t="str">
        <f>výpočty!$W$15</f>
        <v>Alumínium-műanyag (E4)</v>
      </c>
      <c r="E141" t="s">
        <v>2131</v>
      </c>
      <c r="F141">
        <v>1</v>
      </c>
      <c r="G141" s="321" t="str">
        <f>Překlady!$A$143</f>
        <v xml:space="preserve"> E4 profil az alumínium műanyag színes elkészítése, alkalmas a vízszintes vezetésre,kombinálva a Classic vezetéssel,hátra tekercseléssel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 xml:space="preserve"> E4 profil az alumínium műanyag színes elkészítése, alkalmas a vízszintes vezetésre,kombinálva a Classic vezetéssel,hátra tekercseléssel</v>
      </c>
      <c r="N141">
        <f t="shared" si="8"/>
        <v>1</v>
      </c>
    </row>
    <row r="142" spans="1:14" x14ac:dyDescent="0.2">
      <c r="A142" s="255" t="str">
        <f>výpočty!$R$14</f>
        <v>Függőleges (fentről le)</v>
      </c>
      <c r="B142" s="256" t="str">
        <f>výpočty!$R$10</f>
        <v>Csigába</v>
      </c>
      <c r="C142" t="str">
        <f>výpočty!$R$6</f>
        <v>TOP - közzézáródó vezetés csavarozásra fém takaró léccel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Függőleges (fentről le)</v>
      </c>
      <c r="B143" s="256" t="str">
        <f>výpočty!$R$10</f>
        <v>Csigába</v>
      </c>
      <c r="C143" t="str">
        <f>výpočty!$R$6</f>
        <v>TOP - közzézáródó vezetés csavarozásra fém takaró léccel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Függőleges (fentről le)</v>
      </c>
      <c r="B144" s="256" t="str">
        <f>výpočty!$R$10</f>
        <v>Csigába</v>
      </c>
      <c r="C144" t="str">
        <f>výpočty!$R$6</f>
        <v>TOP - közzézáródó vezetés csavarozásra fém takaró léccel</v>
      </c>
      <c r="D144" s="36" t="str">
        <f>výpočty!$W$19</f>
        <v>ALU szélesség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Függőleges (fentről le)</v>
      </c>
      <c r="B145" s="256" t="str">
        <f>výpočty!$R$10</f>
        <v>Csigába</v>
      </c>
      <c r="C145" t="str">
        <f>výpočty!$R$6</f>
        <v>TOP - közzézáródó vezetés csavarozásra fém takaró léccel</v>
      </c>
      <c r="D145" s="27" t="str">
        <f>výpočty!$W$20</f>
        <v>Nemes acél szélesség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Függőleges (fentről le)</v>
      </c>
      <c r="B146" s="256" t="str">
        <f>výpočty!$R$10</f>
        <v>Csigába</v>
      </c>
      <c r="C146" t="str">
        <f>výpočty!$R$7</f>
        <v>Ráütődő metallic-line vezetéssel 29mm és C3 mech.</v>
      </c>
      <c r="D146" s="26" t="str">
        <f>výpočty!$W$3</f>
        <v>Fekete (E23)</v>
      </c>
      <c r="E146" t="s">
        <v>2131</v>
      </c>
      <c r="F146">
        <v>1</v>
      </c>
      <c r="G146" s="321" t="str">
        <f>Překlady!$A$146</f>
        <v xml:space="preserve"> Ráütődő metallic-line vezetéssel 29mm és C3 mech.,kombinálható csak tekercseléses vezetéssel a C3 mechanikára.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 xml:space="preserve"> Ráütődő metallic-line vezetéssel 29mm és C3 mech.,kombinálható csak tekercseléses vezetéssel a C3 mechanikára.</v>
      </c>
      <c r="N146">
        <f t="shared" si="8"/>
        <v>1</v>
      </c>
    </row>
    <row r="147" spans="1:14" x14ac:dyDescent="0.2">
      <c r="A147" s="255" t="str">
        <f>výpočty!$R$14</f>
        <v>Függőleges (fentről le)</v>
      </c>
      <c r="B147" s="256" t="str">
        <f>výpočty!$R$10</f>
        <v>Csigába</v>
      </c>
      <c r="C147" t="str">
        <f>výpočty!$R$7</f>
        <v>Ráütődő metallic-line vezetéssel 29mm és C3 mech.</v>
      </c>
      <c r="D147" s="36" t="str">
        <f>výpočty!$W$4</f>
        <v>Fehér (E23)</v>
      </c>
      <c r="E147" t="s">
        <v>2131</v>
      </c>
      <c r="F147">
        <v>1</v>
      </c>
      <c r="G147" s="321" t="str">
        <f>Překlady!$A$146</f>
        <v xml:space="preserve"> Ráütődő metallic-line vezetéssel 29mm és C3 mech.,kombinálható csak tekercseléses vezetéssel a C3 mechanikára.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 xml:space="preserve"> Ráütődő metallic-line vezetéssel 29mm és C3 mech.,kombinálható csak tekercseléses vezetéssel a C3 mechanikára.</v>
      </c>
      <c r="N147">
        <f t="shared" si="8"/>
        <v>1</v>
      </c>
    </row>
    <row r="148" spans="1:14" x14ac:dyDescent="0.2">
      <c r="A148" s="255" t="str">
        <f>výpočty!$R$14</f>
        <v>Függőleges (fentről le)</v>
      </c>
      <c r="B148" s="256" t="str">
        <f>výpočty!$R$10</f>
        <v>Csigába</v>
      </c>
      <c r="C148" t="str">
        <f>výpočty!$R$7</f>
        <v>Ráütődő metallic-line vezetéssel 29mm és C3 mech.</v>
      </c>
      <c r="D148" s="36" t="str">
        <f>výpočty!$W$5</f>
        <v>Szürke (E23)</v>
      </c>
      <c r="E148" t="s">
        <v>2131</v>
      </c>
      <c r="F148">
        <v>1</v>
      </c>
      <c r="G148" s="321" t="str">
        <f>Překlady!$A$146</f>
        <v xml:space="preserve"> Ráütődő metallic-line vezetéssel 29mm és C3 mech.,kombinálható csak tekercseléses vezetéssel a C3 mechanikára.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 xml:space="preserve"> Ráütődő metallic-line vezetéssel 29mm és C3 mech.,kombinálható csak tekercseléses vezetéssel a C3 mechanikára.</v>
      </c>
      <c r="N148">
        <f t="shared" si="8"/>
        <v>1</v>
      </c>
    </row>
    <row r="149" spans="1:14" x14ac:dyDescent="0.2">
      <c r="A149" s="255" t="str">
        <f>výpočty!$R$14</f>
        <v>Függőleges (fentről le)</v>
      </c>
      <c r="B149" s="256" t="str">
        <f>výpočty!$R$10</f>
        <v>Csigába</v>
      </c>
      <c r="C149" t="str">
        <f>výpočty!$R$7</f>
        <v>Ráütődő metallic-line vezetéssel 29mm és C3 mech.</v>
      </c>
      <c r="D149" s="36" t="str">
        <f>výpočty!$W$6</f>
        <v>Alumínium-műanyag (E23)</v>
      </c>
      <c r="E149" t="s">
        <v>2131</v>
      </c>
      <c r="F149">
        <v>1</v>
      </c>
      <c r="G149" s="321" t="str">
        <f>Překlady!$A$146</f>
        <v xml:space="preserve"> Ráütődő metallic-line vezetéssel 29mm és C3 mech.,kombinálható csak tekercseléses vezetéssel a C3 mechanikára.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 xml:space="preserve"> Ráütődő metallic-line vezetéssel 29mm és C3 mech.,kombinálható csak tekercseléses vezetéssel a C3 mechanikára.</v>
      </c>
      <c r="N149">
        <f t="shared" si="8"/>
        <v>1</v>
      </c>
    </row>
    <row r="150" spans="1:14" x14ac:dyDescent="0.2">
      <c r="A150" s="255" t="str">
        <f>výpočty!$R$14</f>
        <v>Függőleges (fentről le)</v>
      </c>
      <c r="B150" s="256" t="str">
        <f>výpočty!$R$10</f>
        <v>Csigába</v>
      </c>
      <c r="C150" t="str">
        <f>výpočty!$R$7</f>
        <v>Ráütődő metallic-line vezetéssel 29mm és C3 mech.</v>
      </c>
      <c r="D150" s="36" t="str">
        <f>výpočty!$W$7</f>
        <v>Bükk (E23)</v>
      </c>
      <c r="E150" t="s">
        <v>2131</v>
      </c>
      <c r="F150">
        <v>1</v>
      </c>
      <c r="G150" s="321" t="str">
        <f>Překlady!$A$146</f>
        <v xml:space="preserve"> Ráütődő metallic-line vezetéssel 29mm és C3 mech.,kombinálható csak tekercseléses vezetéssel a C3 mechanikára.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 xml:space="preserve"> Ráütődő metallic-line vezetéssel 29mm és C3 mech.,kombinálható csak tekercseléses vezetéssel a C3 mechanikára.</v>
      </c>
      <c r="N150">
        <f t="shared" si="8"/>
        <v>1</v>
      </c>
    </row>
    <row r="151" spans="1:14" x14ac:dyDescent="0.2">
      <c r="A151" s="255" t="str">
        <f>výpočty!$R$14</f>
        <v>Függőleges (fentről le)</v>
      </c>
      <c r="B151" s="256" t="str">
        <f>výpočty!$R$10</f>
        <v>Csigába</v>
      </c>
      <c r="C151" t="str">
        <f>výpočty!$R$7</f>
        <v>Ráütődő metallic-line vezetéssel 29mm és C3 mech.</v>
      </c>
      <c r="D151" s="36" t="str">
        <f>výpočty!$W$8</f>
        <v>Cseresznye (E23)</v>
      </c>
      <c r="E151" t="s">
        <v>2131</v>
      </c>
      <c r="F151">
        <v>1</v>
      </c>
      <c r="G151" s="321" t="str">
        <f>Překlady!$A$146</f>
        <v xml:space="preserve"> Ráütődő metallic-line vezetéssel 29mm és C3 mech.,kombinálható csak tekercseléses vezetéssel a C3 mechanikára.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 xml:space="preserve"> Ráütődő metallic-line vezetéssel 29mm és C3 mech.,kombinálható csak tekercseléses vezetéssel a C3 mechanikára.</v>
      </c>
      <c r="N151">
        <f t="shared" si="8"/>
        <v>1</v>
      </c>
    </row>
    <row r="152" spans="1:14" x14ac:dyDescent="0.2">
      <c r="A152" s="255" t="str">
        <f>výpočty!$R$14</f>
        <v>Függőleges (fentről le)</v>
      </c>
      <c r="B152" s="256" t="str">
        <f>výpočty!$R$10</f>
        <v>Csigába</v>
      </c>
      <c r="C152" t="str">
        <f>výpočty!$R$7</f>
        <v>Ráütődő metallic-line vezetéssel 29mm és C3 mech.</v>
      </c>
      <c r="D152" s="36" t="str">
        <f>výpočty!$W$9</f>
        <v>Jávor (E23)</v>
      </c>
      <c r="E152" t="s">
        <v>2131</v>
      </c>
      <c r="F152">
        <v>1</v>
      </c>
      <c r="G152" s="321" t="str">
        <f>Překlady!$A$146</f>
        <v xml:space="preserve"> Ráütődő metallic-line vezetéssel 29mm és C3 mech.,kombinálható csak tekercseléses vezetéssel a C3 mechanikára.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 xml:space="preserve"> Ráütődő metallic-line vezetéssel 29mm és C3 mech.,kombinálható csak tekercseléses vezetéssel a C3 mechanikára.</v>
      </c>
      <c r="N152">
        <f t="shared" si="8"/>
        <v>1</v>
      </c>
    </row>
    <row r="153" spans="1:14" x14ac:dyDescent="0.2">
      <c r="A153" s="255" t="str">
        <f>výpočty!$R$14</f>
        <v>Függőleges (fentről le)</v>
      </c>
      <c r="B153" s="256" t="str">
        <f>výpočty!$R$10</f>
        <v>Csigába</v>
      </c>
      <c r="C153" t="str">
        <f>výpočty!$R$7</f>
        <v>Ráütődő metallic-line vezetéssel 29mm és C3 mech.</v>
      </c>
      <c r="D153" s="36" t="str">
        <f>výpočty!$W$10</f>
        <v>Nyír (E23)</v>
      </c>
      <c r="E153" t="s">
        <v>2131</v>
      </c>
      <c r="F153">
        <v>1</v>
      </c>
      <c r="G153" s="321" t="str">
        <f>Překlady!$A$146</f>
        <v xml:space="preserve"> Ráütődő metallic-line vezetéssel 29mm és C3 mech.,kombinálható csak tekercseléses vezetéssel a C3 mechanikára.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 xml:space="preserve"> Ráütődő metallic-line vezetéssel 29mm és C3 mech.,kombinálható csak tekercseléses vezetéssel a C3 mechanikára.</v>
      </c>
      <c r="N153">
        <f t="shared" si="8"/>
        <v>1</v>
      </c>
    </row>
    <row r="154" spans="1:14" x14ac:dyDescent="0.2">
      <c r="A154" s="255" t="str">
        <f>výpočty!$R$14</f>
        <v>Függőleges (fentről le)</v>
      </c>
      <c r="B154" s="256" t="str">
        <f>výpočty!$R$10</f>
        <v>Csigába</v>
      </c>
      <c r="C154" t="str">
        <f>výpočty!$R$7</f>
        <v>Ráütődő metallic-line vezetéssel 29mm és C3 mech.</v>
      </c>
      <c r="D154" s="36" t="str">
        <f>výpočty!$W$11</f>
        <v>Cseresznye havana (E23)</v>
      </c>
      <c r="E154" t="s">
        <v>2131</v>
      </c>
      <c r="F154">
        <v>1</v>
      </c>
      <c r="G154" s="321" t="str">
        <f>Překlady!$A$146</f>
        <v xml:space="preserve"> Ráütődő metallic-line vezetéssel 29mm és C3 mech.,kombinálható csak tekercseléses vezetéssel a C3 mechanikára.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 xml:space="preserve"> Ráütődő metallic-line vezetéssel 29mm és C3 mech.,kombinálható csak tekercseléses vezetéssel a C3 mechanikára.</v>
      </c>
      <c r="N154">
        <f t="shared" si="8"/>
        <v>1</v>
      </c>
    </row>
    <row r="155" spans="1:14" x14ac:dyDescent="0.2">
      <c r="A155" s="255" t="str">
        <f>výpočty!$R$14</f>
        <v>Függőleges (fentről le)</v>
      </c>
      <c r="B155" s="256" t="str">
        <f>výpočty!$R$10</f>
        <v>Csigába</v>
      </c>
      <c r="C155" t="str">
        <f>výpočty!$R$7</f>
        <v>Ráütődő metallic-line vezetéssel 29mm és C3 mech.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 xml:space="preserve"> Ráütődő metallic-line vezetéssel 29mm és C3 mech.,kombinálható csak tekercseléses vezetéssel a C3 mechanikára.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 xml:space="preserve"> Ráütődő metallic-line vezetéssel 29mm és C3 mech.,kombinálható csak tekercseléses vezetéssel a C3 mechanikára.</v>
      </c>
      <c r="N155">
        <f t="shared" si="8"/>
        <v>1</v>
      </c>
    </row>
    <row r="156" spans="1:14" x14ac:dyDescent="0.2">
      <c r="A156" s="255" t="str">
        <f>výpočty!$R$14</f>
        <v>Függőleges (fentről le)</v>
      </c>
      <c r="B156" s="256" t="str">
        <f>výpočty!$R$10</f>
        <v>Csigába</v>
      </c>
      <c r="C156" t="str">
        <f>výpočty!$R$7</f>
        <v>Ráütődő metallic-line vezetéssel 29mm és C3 mech.</v>
      </c>
      <c r="D156" s="36" t="str">
        <f>výpočty!$W$14</f>
        <v>Hófehér Matt (E9)</v>
      </c>
      <c r="E156" t="s">
        <v>2131</v>
      </c>
      <c r="F156">
        <v>1</v>
      </c>
      <c r="G156" s="321" t="str">
        <f>Překlady!$A$142</f>
        <v>Az E9 profilnál a világos fehér kombinálható csak a Classic és a Top vezetésnél.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Az E9 profilnál a világos fehér kombinálható csak a Classic és a Top vezetésnél.</v>
      </c>
      <c r="N156">
        <f t="shared" si="8"/>
        <v>1</v>
      </c>
    </row>
    <row r="157" spans="1:14" x14ac:dyDescent="0.2">
      <c r="A157" s="255" t="str">
        <f>výpočty!$R$14</f>
        <v>Függőleges (fentről le)</v>
      </c>
      <c r="B157" s="256" t="str">
        <f>výpočty!$R$10</f>
        <v>Csigába</v>
      </c>
      <c r="C157" t="str">
        <f>výpočty!$R$7</f>
        <v>Ráütődő metallic-line vezetéssel 29mm és C3 mech.</v>
      </c>
      <c r="D157" s="36" t="str">
        <f>výpočty!$W$15</f>
        <v>Alumínium-műanyag (E4)</v>
      </c>
      <c r="E157" t="s">
        <v>2131</v>
      </c>
      <c r="F157">
        <v>1</v>
      </c>
      <c r="G157" s="321" t="str">
        <f>Překlady!$A$143</f>
        <v xml:space="preserve"> E4 profil az alumínium műanyag színes elkészítése, alkalmas a vízszintes vezetésre,kombinálva a Classic vezetéssel,hátra tekercseléssel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 xml:space="preserve"> E4 profil az alumínium műanyag színes elkészítése, alkalmas a vízszintes vezetésre,kombinálva a Classic vezetéssel,hátra tekercseléssel</v>
      </c>
      <c r="N157">
        <f t="shared" si="8"/>
        <v>1</v>
      </c>
    </row>
    <row r="158" spans="1:14" x14ac:dyDescent="0.2">
      <c r="A158" s="255" t="str">
        <f>výpočty!$R$14</f>
        <v>Függőleges (fentről le)</v>
      </c>
      <c r="B158" s="256" t="str">
        <f>výpočty!$R$10</f>
        <v>Csigába</v>
      </c>
      <c r="C158" t="str">
        <f>výpočty!$R$7</f>
        <v>Ráütődő metallic-line vezetéssel 29mm és C3 mech.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 xml:space="preserve"> Ráütődő metallic-line vezetéssel 29mm és C3 mech.,kombinálható csak tekercseléses vezetéssel a C3 mechanikára.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 xml:space="preserve"> Ráütődő metallic-line vezetéssel 29mm és C3 mech.,kombinálható csak tekercseléses vezetéssel a C3 mechanikára.</v>
      </c>
      <c r="N158">
        <f t="shared" si="8"/>
        <v>1</v>
      </c>
    </row>
    <row r="159" spans="1:14" x14ac:dyDescent="0.2">
      <c r="A159" s="255" t="str">
        <f>výpočty!$R$14</f>
        <v>Függőleges (fentről le)</v>
      </c>
      <c r="B159" s="256" t="str">
        <f>výpočty!$R$10</f>
        <v>Csigába</v>
      </c>
      <c r="C159" t="str">
        <f>výpočty!$R$7</f>
        <v>Ráütődő metallic-line vezetéssel 29mm és C3 mech.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 xml:space="preserve"> Ráütődő metallic-line vezetéssel 29mm és C3 mech.,kombinálható csak tekercseléses vezetéssel a C3 mechanikára.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 xml:space="preserve"> Ráütődő metallic-line vezetéssel 29mm és C3 mech.,kombinálható csak tekercseléses vezetéssel a C3 mechanikára.</v>
      </c>
      <c r="N159">
        <f t="shared" si="8"/>
        <v>1</v>
      </c>
    </row>
    <row r="160" spans="1:14" x14ac:dyDescent="0.2">
      <c r="A160" s="255" t="str">
        <f>výpočty!$R$14</f>
        <v>Függőleges (fentről le)</v>
      </c>
      <c r="B160" s="256" t="str">
        <f>výpočty!$R$10</f>
        <v>Csigába</v>
      </c>
      <c r="C160" t="str">
        <f>výpočty!$R$7</f>
        <v>Ráütődő metallic-line vezetéssel 29mm és C3 mech.</v>
      </c>
      <c r="D160" s="36" t="str">
        <f>výpočty!$W$19</f>
        <v>ALU szélesség 25 mm (metallic-line)</v>
      </c>
      <c r="E160" t="s">
        <v>2131</v>
      </c>
      <c r="F160">
        <v>1</v>
      </c>
      <c r="G160" s="321" t="str">
        <f>Překlady!$A$146</f>
        <v xml:space="preserve"> Ráütődő metallic-line vezetéssel 29mm és C3 mech.,kombinálható csak tekercseléses vezetéssel a C3 mechanikára.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 xml:space="preserve"> Ráütődő metallic-line vezetéssel 29mm és C3 mech.,kombinálható csak tekercseléses vezetéssel a C3 mechanikára.</v>
      </c>
      <c r="N160">
        <f t="shared" si="8"/>
        <v>1</v>
      </c>
    </row>
    <row r="161" spans="1:14" ht="13.5" thickBot="1" x14ac:dyDescent="0.25">
      <c r="A161" s="255" t="str">
        <f>výpočty!$R$14</f>
        <v>Függőleges (fentről le)</v>
      </c>
      <c r="B161" s="256" t="str">
        <f>výpočty!$R$10</f>
        <v>Csigába</v>
      </c>
      <c r="C161" t="str">
        <f>výpočty!$R$7</f>
        <v>Ráütődő metallic-line vezetéssel 29mm és C3 mech.</v>
      </c>
      <c r="D161" s="27" t="str">
        <f>výpočty!$W$20</f>
        <v>Nemes acél szélesség 25 mm (metallic-line)</v>
      </c>
      <c r="E161" t="s">
        <v>2131</v>
      </c>
      <c r="F161">
        <v>1</v>
      </c>
      <c r="G161" s="321" t="str">
        <f>Překlady!$A$146</f>
        <v xml:space="preserve"> Ráütődő metallic-line vezetéssel 29mm és C3 mech.,kombinálható csak tekercseléses vezetéssel a C3 mechanikára.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 xml:space="preserve"> Ráütődő metallic-line vezetéssel 29mm és C3 mech.,kombinálható csak tekercseléses vezetéssel a C3 mechanikára.</v>
      </c>
      <c r="N161">
        <f t="shared" si="8"/>
        <v>1</v>
      </c>
    </row>
    <row r="162" spans="1:14" x14ac:dyDescent="0.2">
      <c r="A162" s="255" t="str">
        <f>výpočty!$R$14</f>
        <v>Függőleges (fentről le)</v>
      </c>
      <c r="B162" t="str">
        <f>výpočty!$R$11</f>
        <v>C3 mechanikával</v>
      </c>
      <c r="C162" t="str">
        <f>výpočty!$R$3</f>
        <v>TOP basic-közézáródó vezetés csavarozásra műanyag</v>
      </c>
      <c r="D162" s="26" t="str">
        <f>výpočty!$W$3</f>
        <v>Fekete (E23)</v>
      </c>
      <c r="E162" s="321" t="s">
        <v>2130</v>
      </c>
      <c r="F162">
        <v>2</v>
      </c>
      <c r="G162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2">
        <f t="shared" si="8"/>
        <v>2</v>
      </c>
    </row>
    <row r="163" spans="1:14" x14ac:dyDescent="0.2">
      <c r="A163" s="255" t="str">
        <f>výpočty!$R$14</f>
        <v>Függőleges (fentről le)</v>
      </c>
      <c r="B163" t="str">
        <f>výpočty!$R$11</f>
        <v>C3 mechanikával</v>
      </c>
      <c r="C163" t="str">
        <f>výpočty!$R$3</f>
        <v>TOP basic-közézáródó vezetés csavarozásra műanyag</v>
      </c>
      <c r="D163" s="36" t="str">
        <f>výpočty!$W$4</f>
        <v>Fehér (E23)</v>
      </c>
      <c r="E163" s="321" t="s">
        <v>2130</v>
      </c>
      <c r="F163">
        <v>2</v>
      </c>
      <c r="G163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3">
        <f t="shared" si="8"/>
        <v>2</v>
      </c>
    </row>
    <row r="164" spans="1:14" x14ac:dyDescent="0.2">
      <c r="A164" s="255" t="str">
        <f>výpočty!$R$14</f>
        <v>Függőleges (fentről le)</v>
      </c>
      <c r="B164" t="str">
        <f>výpočty!$R$11</f>
        <v>C3 mechanikával</v>
      </c>
      <c r="C164" t="str">
        <f>výpočty!$R$3</f>
        <v>TOP basic-közézáródó vezetés csavarozásra műanyag</v>
      </c>
      <c r="D164" s="36" t="str">
        <f>výpočty!$W$5</f>
        <v>Szürke (E23)</v>
      </c>
      <c r="E164" s="321" t="s">
        <v>2130</v>
      </c>
      <c r="F164">
        <v>2</v>
      </c>
      <c r="G164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4">
        <f t="shared" si="8"/>
        <v>2</v>
      </c>
    </row>
    <row r="165" spans="1:14" x14ac:dyDescent="0.2">
      <c r="A165" s="255" t="str">
        <f>výpočty!$R$14</f>
        <v>Függőleges (fentről le)</v>
      </c>
      <c r="B165" t="str">
        <f>výpočty!$R$11</f>
        <v>C3 mechanikával</v>
      </c>
      <c r="C165" t="str">
        <f>výpočty!$R$3</f>
        <v>TOP basic-közézáródó vezetés csavarozásra műanyag</v>
      </c>
      <c r="D165" s="36" t="str">
        <f>výpočty!$W$6</f>
        <v>Alumínium-műanyag (E23)</v>
      </c>
      <c r="E165" s="321" t="s">
        <v>2130</v>
      </c>
      <c r="F165">
        <v>2</v>
      </c>
      <c r="G165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5">
        <f t="shared" si="8"/>
        <v>2</v>
      </c>
    </row>
    <row r="166" spans="1:14" x14ac:dyDescent="0.2">
      <c r="A166" s="255" t="str">
        <f>výpočty!$R$14</f>
        <v>Függőleges (fentről le)</v>
      </c>
      <c r="B166" t="str">
        <f>výpočty!$R$11</f>
        <v>C3 mechanikával</v>
      </c>
      <c r="C166" t="str">
        <f>výpočty!$R$3</f>
        <v>TOP basic-közézáródó vezetés csavarozásra műanyag</v>
      </c>
      <c r="D166" s="36" t="str">
        <f>výpočty!$W$7</f>
        <v>Bükk (E23)</v>
      </c>
      <c r="E166" s="321" t="s">
        <v>2130</v>
      </c>
      <c r="F166">
        <v>2</v>
      </c>
      <c r="G166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6">
        <f t="shared" si="8"/>
        <v>2</v>
      </c>
    </row>
    <row r="167" spans="1:14" x14ac:dyDescent="0.2">
      <c r="A167" s="255" t="str">
        <f>výpočty!$R$14</f>
        <v>Függőleges (fentről le)</v>
      </c>
      <c r="B167" t="str">
        <f>výpočty!$R$11</f>
        <v>C3 mechanikával</v>
      </c>
      <c r="C167" t="str">
        <f>výpočty!$R$3</f>
        <v>TOP basic-közézáródó vezetés csavarozásra műanyag</v>
      </c>
      <c r="D167" s="36" t="str">
        <f>výpočty!$W$8</f>
        <v>Cseresznye (E23)</v>
      </c>
      <c r="E167" s="321" t="s">
        <v>2130</v>
      </c>
      <c r="F167">
        <v>2</v>
      </c>
      <c r="G167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7">
        <f t="shared" si="8"/>
        <v>2</v>
      </c>
    </row>
    <row r="168" spans="1:14" x14ac:dyDescent="0.2">
      <c r="A168" s="255" t="str">
        <f>výpočty!$R$14</f>
        <v>Függőleges (fentről le)</v>
      </c>
      <c r="B168" t="str">
        <f>výpočty!$R$11</f>
        <v>C3 mechanikával</v>
      </c>
      <c r="C168" t="str">
        <f>výpočty!$R$3</f>
        <v>TOP basic-közézáródó vezetés csavarozásra műanyag</v>
      </c>
      <c r="D168" s="36" t="str">
        <f>výpočty!$W$9</f>
        <v>Jávor (E23)</v>
      </c>
      <c r="E168" s="321" t="s">
        <v>2130</v>
      </c>
      <c r="F168">
        <v>2</v>
      </c>
      <c r="G168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8">
        <f t="shared" si="8"/>
        <v>2</v>
      </c>
    </row>
    <row r="169" spans="1:14" x14ac:dyDescent="0.2">
      <c r="A169" s="255" t="str">
        <f>výpočty!$R$14</f>
        <v>Függőleges (fentről le)</v>
      </c>
      <c r="B169" t="str">
        <f>výpočty!$R$11</f>
        <v>C3 mechanikával</v>
      </c>
      <c r="C169" t="str">
        <f>výpočty!$R$3</f>
        <v>TOP basic-közézáródó vezetés csavarozásra műanyag</v>
      </c>
      <c r="D169" s="36" t="str">
        <f>výpočty!$W$10</f>
        <v>Nyír (E23)</v>
      </c>
      <c r="E169" s="321" t="s">
        <v>2130</v>
      </c>
      <c r="F169">
        <v>2</v>
      </c>
      <c r="G169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9">
        <f t="shared" si="8"/>
        <v>2</v>
      </c>
    </row>
    <row r="170" spans="1:14" x14ac:dyDescent="0.2">
      <c r="A170" s="255" t="str">
        <f>výpočty!$R$14</f>
        <v>Függőleges (fentről le)</v>
      </c>
      <c r="B170" t="str">
        <f>výpočty!$R$11</f>
        <v>C3 mechanikával</v>
      </c>
      <c r="C170" t="str">
        <f>výpočty!$R$3</f>
        <v>TOP basic-közézáródó vezetés csavarozásra műanyag</v>
      </c>
      <c r="D170" s="36" t="str">
        <f>výpočty!$W$11</f>
        <v>Cseresznye havana (E23)</v>
      </c>
      <c r="E170" s="321" t="s">
        <v>2130</v>
      </c>
      <c r="F170">
        <v>2</v>
      </c>
      <c r="G170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0">
        <f t="shared" si="8"/>
        <v>2</v>
      </c>
    </row>
    <row r="171" spans="1:14" x14ac:dyDescent="0.2">
      <c r="A171" s="255" t="str">
        <f>výpočty!$R$14</f>
        <v>Függőleges (fentről le)</v>
      </c>
      <c r="B171" t="str">
        <f>výpočty!$R$11</f>
        <v>C3 mechanikával</v>
      </c>
      <c r="C171" t="str">
        <f>výpočty!$R$3</f>
        <v>TOP basic-közézáródó vezetés csavarozásra műanyag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1">
        <f t="shared" si="8"/>
        <v>2</v>
      </c>
    </row>
    <row r="172" spans="1:14" x14ac:dyDescent="0.2">
      <c r="A172" s="255" t="str">
        <f>výpočty!$R$14</f>
        <v>Függőleges (fentről le)</v>
      </c>
      <c r="B172" t="str">
        <f>výpočty!$R$11</f>
        <v>C3 mechanikával</v>
      </c>
      <c r="C172" t="str">
        <f>výpočty!$R$3</f>
        <v>TOP basic-közézáródó vezetés csavarozásra műanyag</v>
      </c>
      <c r="D172" s="36" t="str">
        <f>výpočty!$W$14</f>
        <v>Hófehér Matt (E9)</v>
      </c>
      <c r="E172" t="s">
        <v>2131</v>
      </c>
      <c r="F172">
        <v>1</v>
      </c>
      <c r="G172" s="321" t="str">
        <f>Překlady!$A$142</f>
        <v>Az E9 profilnál a világos fehér kombinálható csak a Classic és a Top vezetésnél.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Az E9 profilnál a világos fehér kombinálható csak a Classic és a Top vezetésnél.</v>
      </c>
      <c r="N172">
        <f t="shared" si="8"/>
        <v>1</v>
      </c>
    </row>
    <row r="173" spans="1:14" x14ac:dyDescent="0.2">
      <c r="A173" s="255" t="str">
        <f>výpočty!$R$14</f>
        <v>Függőleges (fentről le)</v>
      </c>
      <c r="B173" t="str">
        <f>výpočty!$R$11</f>
        <v>C3 mechanikával</v>
      </c>
      <c r="C173" t="str">
        <f>výpočty!$R$3</f>
        <v>TOP basic-közézáródó vezetés csavarozásra műanyag</v>
      </c>
      <c r="D173" s="36" t="str">
        <f>výpočty!$W$15</f>
        <v>Alumínium-műanyag (E4)</v>
      </c>
      <c r="E173" t="s">
        <v>2131</v>
      </c>
      <c r="F173">
        <v>1</v>
      </c>
      <c r="G173" s="321" t="str">
        <f>Překlady!$A$143</f>
        <v xml:space="preserve"> E4 profil az alumínium műanyag színes elkészítése, alkalmas a vízszintes vezetésre,kombinálva a Classic vezetéssel,hátra tekercseléssel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 xml:space="preserve"> E4 profil az alumínium műanyag színes elkészítése, alkalmas a vízszintes vezetésre,kombinálva a Classic vezetéssel,hátra tekercseléssel</v>
      </c>
      <c r="N173">
        <f t="shared" si="8"/>
        <v>1</v>
      </c>
    </row>
    <row r="174" spans="1:14" x14ac:dyDescent="0.2">
      <c r="A174" s="255" t="str">
        <f>výpočty!$R$14</f>
        <v>Függőleges (fentről le)</v>
      </c>
      <c r="B174" t="str">
        <f>výpočty!$R$11</f>
        <v>C3 mechanikával</v>
      </c>
      <c r="C174" t="str">
        <f>výpočty!$R$3</f>
        <v>TOP basic-közézáródó vezetés csavarozásra műanyag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Nem lehet kombinálni a TOP BASIC vezetésű rendszert a redőny profillal Metallic line.Szükséges választani TOP vezetésüt.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Nem lehet kombinálni a TOP BASIC vezetésű rendszert a redőny profillal Metallic line.Szükséges választani TOP vezetésüt.</v>
      </c>
      <c r="N174">
        <f t="shared" si="8"/>
        <v>1</v>
      </c>
    </row>
    <row r="175" spans="1:14" x14ac:dyDescent="0.2">
      <c r="A175" s="255" t="str">
        <f>výpočty!$R$14</f>
        <v>Függőleges (fentről le)</v>
      </c>
      <c r="B175" t="str">
        <f>výpočty!$R$11</f>
        <v>C3 mechanikával</v>
      </c>
      <c r="C175" t="str">
        <f>výpočty!$R$3</f>
        <v>TOP basic-közézáródó vezetés csavarozásra műanyag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Nem lehet kombinálni a TOP BASIC vezetésű rendszert a redőny profillal Metallic line.Szükséges választani TOP vezetésüt.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Nem lehet kombinálni a TOP BASIC vezetésű rendszert a redőny profillal Metallic line.Szükséges választani TOP vezetésüt.</v>
      </c>
      <c r="N175">
        <f t="shared" si="8"/>
        <v>1</v>
      </c>
    </row>
    <row r="176" spans="1:14" x14ac:dyDescent="0.2">
      <c r="A176" s="255" t="str">
        <f>výpočty!$R$14</f>
        <v>Függőleges (fentről le)</v>
      </c>
      <c r="B176" t="str">
        <f>výpočty!$R$11</f>
        <v>C3 mechanikával</v>
      </c>
      <c r="C176" t="str">
        <f>výpočty!$R$3</f>
        <v>TOP basic-közézáródó vezetés csavarozásra műanyag</v>
      </c>
      <c r="D176" s="36" t="str">
        <f>výpočty!$W$19</f>
        <v>ALU szélesség 25 mm (metallic-line)</v>
      </c>
      <c r="E176" t="s">
        <v>2131</v>
      </c>
      <c r="F176">
        <v>1</v>
      </c>
      <c r="G176" s="321" t="str">
        <f>Překlady!$A$144</f>
        <v>Nem lehet kombinálni a TOP BASIC vezetésű rendszert a redőny profillal Metallic line.Szükséges választani TOP vezetésüt.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Nem lehet kombinálni a TOP BASIC vezetésű rendszert a redőny profillal Metallic line.Szükséges választani TOP vezetésüt.</v>
      </c>
      <c r="N176">
        <f t="shared" si="8"/>
        <v>1</v>
      </c>
    </row>
    <row r="177" spans="1:14" ht="13.5" thickBot="1" x14ac:dyDescent="0.25">
      <c r="A177" s="255" t="str">
        <f>výpočty!$R$14</f>
        <v>Függőleges (fentről le)</v>
      </c>
      <c r="B177" t="str">
        <f>výpočty!$R$11</f>
        <v>C3 mechanikával</v>
      </c>
      <c r="C177" t="str">
        <f>výpočty!$R$3</f>
        <v>TOP basic-közézáródó vezetés csavarozásra műanyag</v>
      </c>
      <c r="D177" s="27" t="str">
        <f>výpočty!$W$20</f>
        <v>Nemes acél szélesség 25 mm (metallic-line)</v>
      </c>
      <c r="E177" t="s">
        <v>2131</v>
      </c>
      <c r="F177">
        <v>1</v>
      </c>
      <c r="G177" s="321" t="str">
        <f>Překlady!$A$144</f>
        <v>Nem lehet kombinálni a TOP BASIC vezetésű rendszert a redőny profillal Metallic line.Szükséges választani TOP vezetésüt.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Nem lehet kombinálni a TOP BASIC vezetésű rendszert a redőny profillal Metallic line.Szükséges választani TOP vezetésüt.</v>
      </c>
      <c r="N177">
        <f t="shared" si="8"/>
        <v>1</v>
      </c>
    </row>
    <row r="178" spans="1:14" x14ac:dyDescent="0.2">
      <c r="A178" s="255" t="str">
        <f>výpočty!$R$14</f>
        <v>Függőleges (fentről le)</v>
      </c>
      <c r="B178" t="str">
        <f>výpočty!$R$11</f>
        <v>C3 mechanikával</v>
      </c>
      <c r="C178" t="str">
        <f>výpočty!$R$4</f>
        <v>Classic - közézáródó vezetés bemarásra</v>
      </c>
      <c r="D178" s="26" t="str">
        <f>výpočty!$W$3</f>
        <v>Fekete (E23)</v>
      </c>
      <c r="E178" t="s">
        <v>2131</v>
      </c>
      <c r="F178">
        <v>1</v>
      </c>
      <c r="G178" t="str">
        <f>Překlady!$A$150</f>
        <v>Tekercselési rendszer a C3 mechanikára,nem lehet kombinálni a Classic vezetéssel,javasolunk hogy válasszon egy másik tekercselési rendszert.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Tekercselési rendszer a C3 mechanikára,nem lehet kombinálni a Classic vezetéssel,javasolunk hogy válasszon egy másik tekercselési rendszert.</v>
      </c>
      <c r="N178">
        <f t="shared" si="8"/>
        <v>1</v>
      </c>
    </row>
    <row r="179" spans="1:14" x14ac:dyDescent="0.2">
      <c r="A179" s="255" t="str">
        <f>výpočty!$R$14</f>
        <v>Függőleges (fentről le)</v>
      </c>
      <c r="B179" t="str">
        <f>výpočty!$R$11</f>
        <v>C3 mechanikával</v>
      </c>
      <c r="C179" t="str">
        <f>výpočty!$R$4</f>
        <v>Classic - közézáródó vezetés bemarásra</v>
      </c>
      <c r="D179" s="36" t="str">
        <f>výpočty!$W$4</f>
        <v>Fehér (E23)</v>
      </c>
      <c r="E179" t="s">
        <v>2131</v>
      </c>
      <c r="F179">
        <v>1</v>
      </c>
      <c r="G179" t="str">
        <f>Překlady!$A$150</f>
        <v>Tekercselési rendszer a C3 mechanikára,nem lehet kombinálni a Classic vezetéssel,javasolunk hogy válasszon egy másik tekercselési rendszert.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Tekercselési rendszer a C3 mechanikára,nem lehet kombinálni a Classic vezetéssel,javasolunk hogy válasszon egy másik tekercselési rendszert.</v>
      </c>
      <c r="N179">
        <f t="shared" si="8"/>
        <v>1</v>
      </c>
    </row>
    <row r="180" spans="1:14" x14ac:dyDescent="0.2">
      <c r="A180" s="255" t="str">
        <f>výpočty!$R$14</f>
        <v>Függőleges (fentről le)</v>
      </c>
      <c r="B180" t="str">
        <f>výpočty!$R$11</f>
        <v>C3 mechanikával</v>
      </c>
      <c r="C180" t="str">
        <f>výpočty!$R$4</f>
        <v>Classic - közézáródó vezetés bemarásra</v>
      </c>
      <c r="D180" s="36" t="str">
        <f>výpočty!$W$5</f>
        <v>Szürke (E23)</v>
      </c>
      <c r="E180" t="s">
        <v>2131</v>
      </c>
      <c r="F180">
        <v>1</v>
      </c>
      <c r="G180" t="str">
        <f>Překlady!$A$150</f>
        <v>Tekercselési rendszer a C3 mechanikára,nem lehet kombinálni a Classic vezetéssel,javasolunk hogy válasszon egy másik tekercselési rendszert.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Tekercselési rendszer a C3 mechanikára,nem lehet kombinálni a Classic vezetéssel,javasolunk hogy válasszon egy másik tekercselési rendszert.</v>
      </c>
      <c r="N180">
        <f t="shared" si="8"/>
        <v>1</v>
      </c>
    </row>
    <row r="181" spans="1:14" x14ac:dyDescent="0.2">
      <c r="A181" s="255" t="str">
        <f>výpočty!$R$14</f>
        <v>Függőleges (fentről le)</v>
      </c>
      <c r="B181" t="str">
        <f>výpočty!$R$11</f>
        <v>C3 mechanikával</v>
      </c>
      <c r="C181" t="str">
        <f>výpočty!$R$4</f>
        <v>Classic - közézáródó vezetés bemarásra</v>
      </c>
      <c r="D181" s="36" t="str">
        <f>výpočty!$W$6</f>
        <v>Alumínium-műanyag (E23)</v>
      </c>
      <c r="E181" t="s">
        <v>2131</v>
      </c>
      <c r="F181">
        <v>1</v>
      </c>
      <c r="G181" t="str">
        <f>Překlady!$A$150</f>
        <v>Tekercselési rendszer a C3 mechanikára,nem lehet kombinálni a Classic vezetéssel,javasolunk hogy válasszon egy másik tekercselési rendszert.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Tekercselési rendszer a C3 mechanikára,nem lehet kombinálni a Classic vezetéssel,javasolunk hogy válasszon egy másik tekercselési rendszert.</v>
      </c>
      <c r="N181">
        <f t="shared" si="8"/>
        <v>1</v>
      </c>
    </row>
    <row r="182" spans="1:14" x14ac:dyDescent="0.2">
      <c r="A182" s="255" t="str">
        <f>výpočty!$R$14</f>
        <v>Függőleges (fentről le)</v>
      </c>
      <c r="B182" t="str">
        <f>výpočty!$R$11</f>
        <v>C3 mechanikával</v>
      </c>
      <c r="C182" t="str">
        <f>výpočty!$R$4</f>
        <v>Classic - közézáródó vezetés bemarásra</v>
      </c>
      <c r="D182" s="36" t="str">
        <f>výpočty!$W$7</f>
        <v>Bükk (E23)</v>
      </c>
      <c r="E182" t="s">
        <v>2131</v>
      </c>
      <c r="F182">
        <v>1</v>
      </c>
      <c r="G182" t="str">
        <f>Překlady!$A$150</f>
        <v>Tekercselési rendszer a C3 mechanikára,nem lehet kombinálni a Classic vezetéssel,javasolunk hogy válasszon egy másik tekercselési rendszert.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Tekercselési rendszer a C3 mechanikára,nem lehet kombinálni a Classic vezetéssel,javasolunk hogy válasszon egy másik tekercselési rendszert.</v>
      </c>
      <c r="N182">
        <f t="shared" si="8"/>
        <v>1</v>
      </c>
    </row>
    <row r="183" spans="1:14" x14ac:dyDescent="0.2">
      <c r="A183" s="255" t="str">
        <f>výpočty!$R$14</f>
        <v>Függőleges (fentről le)</v>
      </c>
      <c r="B183" t="str">
        <f>výpočty!$R$11</f>
        <v>C3 mechanikával</v>
      </c>
      <c r="C183" t="str">
        <f>výpočty!$R$4</f>
        <v>Classic - közézáródó vezetés bemarásra</v>
      </c>
      <c r="D183" s="36" t="str">
        <f>výpočty!$W$8</f>
        <v>Cseresznye (E23)</v>
      </c>
      <c r="E183" t="s">
        <v>2131</v>
      </c>
      <c r="F183">
        <v>1</v>
      </c>
      <c r="G183" t="str">
        <f>Překlady!$A$150</f>
        <v>Tekercselési rendszer a C3 mechanikára,nem lehet kombinálni a Classic vezetéssel,javasolunk hogy válasszon egy másik tekercselési rendszert.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Tekercselési rendszer a C3 mechanikára,nem lehet kombinálni a Classic vezetéssel,javasolunk hogy válasszon egy másik tekercselési rendszert.</v>
      </c>
      <c r="N183">
        <f t="shared" si="8"/>
        <v>1</v>
      </c>
    </row>
    <row r="184" spans="1:14" x14ac:dyDescent="0.2">
      <c r="A184" s="255" t="str">
        <f>výpočty!$R$14</f>
        <v>Függőleges (fentről le)</v>
      </c>
      <c r="B184" t="str">
        <f>výpočty!$R$11</f>
        <v>C3 mechanikával</v>
      </c>
      <c r="C184" t="str">
        <f>výpočty!$R$4</f>
        <v>Classic - közézáródó vezetés bemarásra</v>
      </c>
      <c r="D184" s="36" t="str">
        <f>výpočty!$W$9</f>
        <v>Jávor (E23)</v>
      </c>
      <c r="E184" t="s">
        <v>2131</v>
      </c>
      <c r="F184">
        <v>1</v>
      </c>
      <c r="G184" t="str">
        <f>Překlady!$A$150</f>
        <v>Tekercselési rendszer a C3 mechanikára,nem lehet kombinálni a Classic vezetéssel,javasolunk hogy válasszon egy másik tekercselési rendszert.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Tekercselési rendszer a C3 mechanikára,nem lehet kombinálni a Classic vezetéssel,javasolunk hogy válasszon egy másik tekercselési rendszert.</v>
      </c>
      <c r="N184">
        <f t="shared" si="8"/>
        <v>1</v>
      </c>
    </row>
    <row r="185" spans="1:14" x14ac:dyDescent="0.2">
      <c r="A185" s="255" t="str">
        <f>výpočty!$R$14</f>
        <v>Függőleges (fentről le)</v>
      </c>
      <c r="B185" t="str">
        <f>výpočty!$R$11</f>
        <v>C3 mechanikával</v>
      </c>
      <c r="C185" t="str">
        <f>výpočty!$R$4</f>
        <v>Classic - közézáródó vezetés bemarásra</v>
      </c>
      <c r="D185" s="36" t="str">
        <f>výpočty!$W$10</f>
        <v>Nyír (E23)</v>
      </c>
      <c r="E185" t="s">
        <v>2131</v>
      </c>
      <c r="F185">
        <v>1</v>
      </c>
      <c r="G185" t="str">
        <f>Překlady!$A$150</f>
        <v>Tekercselési rendszer a C3 mechanikára,nem lehet kombinálni a Classic vezetéssel,javasolunk hogy válasszon egy másik tekercselési rendszert.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Tekercselési rendszer a C3 mechanikára,nem lehet kombinálni a Classic vezetéssel,javasolunk hogy válasszon egy másik tekercselési rendszert.</v>
      </c>
      <c r="N185">
        <f t="shared" si="8"/>
        <v>1</v>
      </c>
    </row>
    <row r="186" spans="1:14" x14ac:dyDescent="0.2">
      <c r="A186" s="255" t="str">
        <f>výpočty!$R$14</f>
        <v>Függőleges (fentről le)</v>
      </c>
      <c r="B186" t="str">
        <f>výpočty!$R$11</f>
        <v>C3 mechanikával</v>
      </c>
      <c r="C186" t="str">
        <f>výpočty!$R$4</f>
        <v>Classic - közézáródó vezetés bemarásra</v>
      </c>
      <c r="D186" s="36" t="str">
        <f>výpočty!$W$11</f>
        <v>Cseresznye havana (E23)</v>
      </c>
      <c r="E186" t="s">
        <v>2131</v>
      </c>
      <c r="F186">
        <v>1</v>
      </c>
      <c r="G186" t="str">
        <f>Překlady!$A$150</f>
        <v>Tekercselési rendszer a C3 mechanikára,nem lehet kombinálni a Classic vezetéssel,javasolunk hogy válasszon egy másik tekercselési rendszert.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Tekercselési rendszer a C3 mechanikára,nem lehet kombinálni a Classic vezetéssel,javasolunk hogy válasszon egy másik tekercselési rendszert.</v>
      </c>
      <c r="N186">
        <f t="shared" si="8"/>
        <v>1</v>
      </c>
    </row>
    <row r="187" spans="1:14" x14ac:dyDescent="0.2">
      <c r="A187" s="255" t="str">
        <f>výpočty!$R$14</f>
        <v>Függőleges (fentről le)</v>
      </c>
      <c r="B187" t="str">
        <f>výpočty!$R$11</f>
        <v>C3 mechanikával</v>
      </c>
      <c r="C187" t="str">
        <f>výpočty!$R$4</f>
        <v>Classic - közézáródó vezetés bemarásra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Tekercselési rendszer a C3 mechanikára,nem lehet kombinálni a Classic vezetéssel,javasolunk hogy válasszon egy másik tekercselési rendszert.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Tekercselési rendszer a C3 mechanikára,nem lehet kombinálni a Classic vezetéssel,javasolunk hogy válasszon egy másik tekercselési rendszert.</v>
      </c>
      <c r="N187">
        <f t="shared" si="8"/>
        <v>1</v>
      </c>
    </row>
    <row r="188" spans="1:14" x14ac:dyDescent="0.2">
      <c r="A188" s="255" t="str">
        <f>výpočty!$R$14</f>
        <v>Függőleges (fentről le)</v>
      </c>
      <c r="B188" t="str">
        <f>výpočty!$R$11</f>
        <v>C3 mechanikával</v>
      </c>
      <c r="C188" t="str">
        <f>výpočty!$R$4</f>
        <v>Classic - közézáródó vezetés bemarásra</v>
      </c>
      <c r="D188" s="36" t="str">
        <f>výpočty!$W$14</f>
        <v>Hófehér Matt (E9)</v>
      </c>
      <c r="E188" t="s">
        <v>2131</v>
      </c>
      <c r="F188">
        <v>1</v>
      </c>
      <c r="G188" t="str">
        <f>Překlady!$A$150</f>
        <v>Tekercselési rendszer a C3 mechanikára,nem lehet kombinálni a Classic vezetéssel,javasolunk hogy válasszon egy másik tekercselési rendszert.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Tekercselési rendszer a C3 mechanikára,nem lehet kombinálni a Classic vezetéssel,javasolunk hogy válasszon egy másik tekercselési rendszert.</v>
      </c>
      <c r="N188">
        <f t="shared" si="8"/>
        <v>1</v>
      </c>
    </row>
    <row r="189" spans="1:14" x14ac:dyDescent="0.2">
      <c r="A189" s="255" t="str">
        <f>výpočty!$R$14</f>
        <v>Függőleges (fentről le)</v>
      </c>
      <c r="B189" t="str">
        <f>výpočty!$R$11</f>
        <v>C3 mechanikával</v>
      </c>
      <c r="C189" t="str">
        <f>výpočty!$R$4</f>
        <v>Classic - közézáródó vezetés bemarásra</v>
      </c>
      <c r="D189" s="36" t="str">
        <f>výpočty!$W$15</f>
        <v>Alumínium-műanyag (E4)</v>
      </c>
      <c r="E189" t="s">
        <v>2131</v>
      </c>
      <c r="F189">
        <v>1</v>
      </c>
      <c r="G189" s="321" t="str">
        <f>Překlady!$A$143</f>
        <v xml:space="preserve"> E4 profil az alumínium műanyag színes elkészítése, alkalmas a vízszintes vezetésre,kombinálva a Classic vezetéssel,hátra tekercseléssel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 xml:space="preserve"> E4 profil az alumínium műanyag színes elkészítése, alkalmas a vízszintes vezetésre,kombinálva a Classic vezetéssel,hátra tekercseléssel</v>
      </c>
      <c r="N189">
        <f t="shared" si="8"/>
        <v>1</v>
      </c>
    </row>
    <row r="190" spans="1:14" x14ac:dyDescent="0.2">
      <c r="A190" s="255" t="str">
        <f>výpočty!$R$14</f>
        <v>Függőleges (fentről le)</v>
      </c>
      <c r="B190" t="str">
        <f>výpočty!$R$11</f>
        <v>C3 mechanikával</v>
      </c>
      <c r="C190" t="str">
        <f>výpočty!$R$4</f>
        <v>Classic - közézáródó vezetés bemarásra</v>
      </c>
      <c r="D190" s="36">
        <f>výpočty!$W$17</f>
        <v>0</v>
      </c>
      <c r="E190" t="s">
        <v>2131</v>
      </c>
      <c r="F190">
        <v>1</v>
      </c>
      <c r="G190" t="str">
        <f>Překlady!$A$150</f>
        <v>Tekercselési rendszer a C3 mechanikára,nem lehet kombinálni a Classic vezetéssel,javasolunk hogy válasszon egy másik tekercselési rendszert.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Tekercselési rendszer a C3 mechanikára,nem lehet kombinálni a Classic vezetéssel,javasolunk hogy válasszon egy másik tekercselési rendszert.</v>
      </c>
      <c r="N190">
        <f t="shared" si="8"/>
        <v>1</v>
      </c>
    </row>
    <row r="191" spans="1:14" x14ac:dyDescent="0.2">
      <c r="A191" s="255" t="str">
        <f>výpočty!$R$14</f>
        <v>Függőleges (fentről le)</v>
      </c>
      <c r="B191" t="str">
        <f>výpočty!$R$11</f>
        <v>C3 mechanikával</v>
      </c>
      <c r="C191" t="str">
        <f>výpočty!$R$4</f>
        <v>Classic - közézáródó vezetés bemarásra</v>
      </c>
      <c r="D191" s="36">
        <f>výpočty!$W$18</f>
        <v>0</v>
      </c>
      <c r="E191" t="s">
        <v>2131</v>
      </c>
      <c r="F191">
        <v>1</v>
      </c>
      <c r="G191" t="str">
        <f>Překlady!$A$150</f>
        <v>Tekercselési rendszer a C3 mechanikára,nem lehet kombinálni a Classic vezetéssel,javasolunk hogy válasszon egy másik tekercselési rendszert.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Tekercselési rendszer a C3 mechanikára,nem lehet kombinálni a Classic vezetéssel,javasolunk hogy válasszon egy másik tekercselési rendszert.</v>
      </c>
      <c r="N191">
        <f t="shared" si="8"/>
        <v>1</v>
      </c>
    </row>
    <row r="192" spans="1:14" x14ac:dyDescent="0.2">
      <c r="A192" s="255" t="str">
        <f>výpočty!$R$14</f>
        <v>Függőleges (fentről le)</v>
      </c>
      <c r="B192" t="str">
        <f>výpočty!$R$11</f>
        <v>C3 mechanikával</v>
      </c>
      <c r="C192" t="str">
        <f>výpočty!$R$4</f>
        <v>Classic - közézáródó vezetés bemarásra</v>
      </c>
      <c r="D192" s="36" t="str">
        <f>výpočty!$W$19</f>
        <v>ALU szélesség 25 mm (metallic-line)</v>
      </c>
      <c r="E192" t="s">
        <v>2131</v>
      </c>
      <c r="F192">
        <v>1</v>
      </c>
      <c r="G192" t="str">
        <f>Překlady!$A$150</f>
        <v>Tekercselési rendszer a C3 mechanikára,nem lehet kombinálni a Classic vezetéssel,javasolunk hogy válasszon egy másik tekercselési rendszert.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Tekercselési rendszer a C3 mechanikára,nem lehet kombinálni a Classic vezetéssel,javasolunk hogy válasszon egy másik tekercselési rendszert.</v>
      </c>
      <c r="N192">
        <f t="shared" si="8"/>
        <v>1</v>
      </c>
    </row>
    <row r="193" spans="1:14" ht="13.5" thickBot="1" x14ac:dyDescent="0.25">
      <c r="A193" s="255" t="str">
        <f>výpočty!$R$14</f>
        <v>Függőleges (fentről le)</v>
      </c>
      <c r="B193" t="str">
        <f>výpočty!$R$11</f>
        <v>C3 mechanikával</v>
      </c>
      <c r="C193" t="str">
        <f>výpočty!$R$4</f>
        <v>Classic - közézáródó vezetés bemarásra</v>
      </c>
      <c r="D193" s="27" t="str">
        <f>výpočty!$W$20</f>
        <v>Nemes acél szélesség 25 mm (metallic-line)</v>
      </c>
      <c r="E193" t="s">
        <v>2131</v>
      </c>
      <c r="F193">
        <v>1</v>
      </c>
      <c r="G193" t="str">
        <f>Překlady!$A$150</f>
        <v>Tekercselési rendszer a C3 mechanikára,nem lehet kombinálni a Classic vezetéssel,javasolunk hogy válasszon egy másik tekercselési rendszert.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Tekercselési rendszer a C3 mechanikára,nem lehet kombinálni a Classic vezetéssel,javasolunk hogy válasszon egy másik tekercselési rendszert.</v>
      </c>
      <c r="N193">
        <f t="shared" si="8"/>
        <v>1</v>
      </c>
    </row>
    <row r="194" spans="1:14" x14ac:dyDescent="0.2">
      <c r="A194" s="255" t="str">
        <f>výpočty!$R$14</f>
        <v>Függőleges (fentről le)</v>
      </c>
      <c r="B194" t="str">
        <f>výpočty!$R$11</f>
        <v>C3 mechanikával</v>
      </c>
      <c r="C194" t="str">
        <f>výpočty!$R$5</f>
        <v xml:space="preserve">Frame - ráütődő takaró léces vezetéssel </v>
      </c>
      <c r="D194" s="26" t="str">
        <f>výpočty!$W$3</f>
        <v>Fekete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Függőleges (fentről le)</v>
      </c>
      <c r="B195" t="str">
        <f>výpočty!$R$11</f>
        <v>C3 mechanikával</v>
      </c>
      <c r="C195" t="str">
        <f>výpočty!$R$5</f>
        <v xml:space="preserve">Frame - ráütődő takaró léces vezetéssel </v>
      </c>
      <c r="D195" s="36" t="str">
        <f>výpočty!$W$4</f>
        <v>Fehér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Függőleges (fentről le)</v>
      </c>
      <c r="B196" t="str">
        <f>výpočty!$R$11</f>
        <v>C3 mechanikával</v>
      </c>
      <c r="C196" t="str">
        <f>výpočty!$R$5</f>
        <v xml:space="preserve">Frame - ráütődő takaró léces vezetéssel </v>
      </c>
      <c r="D196" s="36" t="str">
        <f>výpočty!$W$5</f>
        <v>Szürke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Függőleges (fentről le)</v>
      </c>
      <c r="B197" t="str">
        <f>výpočty!$R$11</f>
        <v>C3 mechanikával</v>
      </c>
      <c r="C197" t="str">
        <f>výpočty!$R$5</f>
        <v xml:space="preserve">Frame - ráütődő takaró léces vezetéssel </v>
      </c>
      <c r="D197" s="36" t="str">
        <f>výpočty!$W$6</f>
        <v>Alumínium-műanyag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Függőleges (fentről le)</v>
      </c>
      <c r="B198" t="str">
        <f>výpočty!$R$11</f>
        <v>C3 mechanikával</v>
      </c>
      <c r="C198" t="str">
        <f>výpočty!$R$5</f>
        <v xml:space="preserve">Frame - ráütődő takaró léces vezetéssel </v>
      </c>
      <c r="D198" s="36" t="str">
        <f>výpočty!$W$7</f>
        <v>Bükk (E23)</v>
      </c>
      <c r="E198" t="s">
        <v>2131</v>
      </c>
      <c r="F198">
        <v>1</v>
      </c>
      <c r="G198" s="321" t="str">
        <f>Překlady!$A$145</f>
        <v>A Bükk színes elkészítése az E23 profilnál, nem kombinálható a FRAME vezetéssel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A Bükk színes elkészítése az E23 profilnál, nem kombinálható a FRAME vezetéssel</v>
      </c>
      <c r="N198">
        <f t="shared" si="11"/>
        <v>1</v>
      </c>
    </row>
    <row r="199" spans="1:14" x14ac:dyDescent="0.2">
      <c r="A199" s="255" t="str">
        <f>výpočty!$R$14</f>
        <v>Függőleges (fentről le)</v>
      </c>
      <c r="B199" t="str">
        <f>výpočty!$R$11</f>
        <v>C3 mechanikával</v>
      </c>
      <c r="C199" t="str">
        <f>výpočty!$R$5</f>
        <v xml:space="preserve">Frame - ráütődő takaró léces vezetéssel </v>
      </c>
      <c r="D199" s="36" t="str">
        <f>výpočty!$W$8</f>
        <v>Cseresznye (E23)</v>
      </c>
      <c r="E199" t="s">
        <v>2130</v>
      </c>
      <c r="F199">
        <v>1</v>
      </c>
      <c r="G199" t="str">
        <f>Překlady!$A$176</f>
        <v>A Cseresznye színes elkészítése az E23 profilnál, nem kombinálható a FRAME vezetéssel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A Cseresznye színes elkészítése az E23 profilnál, nem kombinálható a FRAME vezetéssel</v>
      </c>
      <c r="N199">
        <f t="shared" si="11"/>
        <v>1</v>
      </c>
    </row>
    <row r="200" spans="1:14" x14ac:dyDescent="0.2">
      <c r="A200" s="255" t="str">
        <f>výpočty!$R$14</f>
        <v>Függőleges (fentről le)</v>
      </c>
      <c r="B200" t="str">
        <f>výpočty!$R$11</f>
        <v>C3 mechanikával</v>
      </c>
      <c r="C200" t="str">
        <f>výpočty!$R$5</f>
        <v xml:space="preserve">Frame - ráütődő takaró léces vezetéssel </v>
      </c>
      <c r="D200" s="36" t="str">
        <f>výpočty!$W$9</f>
        <v>Jávor (E23)</v>
      </c>
      <c r="E200" t="s">
        <v>2130</v>
      </c>
      <c r="F200">
        <v>1</v>
      </c>
      <c r="G200" t="str">
        <f>Překlady!$A$177</f>
        <v>A Jávor színes elkészítése az E23 profilnál, nem kombinálható a FRAME vezetéssel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A Jávor színes elkészítése az E23 profilnál, nem kombinálható a FRAME vezetéssel</v>
      </c>
      <c r="N200">
        <f t="shared" si="11"/>
        <v>1</v>
      </c>
    </row>
    <row r="201" spans="1:14" x14ac:dyDescent="0.2">
      <c r="A201" s="255" t="str">
        <f>výpočty!$R$14</f>
        <v>Függőleges (fentről le)</v>
      </c>
      <c r="B201" t="str">
        <f>výpočty!$R$11</f>
        <v>C3 mechanikával</v>
      </c>
      <c r="C201" t="str">
        <f>výpočty!$R$5</f>
        <v xml:space="preserve">Frame - ráütődő takaró léces vezetéssel </v>
      </c>
      <c r="D201" s="36" t="str">
        <f>výpočty!$W$10</f>
        <v>Nyír (E23)</v>
      </c>
      <c r="E201" t="s">
        <v>2130</v>
      </c>
      <c r="F201">
        <v>1</v>
      </c>
      <c r="G201" t="str">
        <f>Překlady!$A$175</f>
        <v>A Nyír színes elkészítése az E23 profilnál, nem kombinálható a FRAME vezetéssel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A Nyír színes elkészítése az E23 profilnál, nem kombinálható a FRAME vezetéssel</v>
      </c>
      <c r="N201">
        <f t="shared" si="11"/>
        <v>1</v>
      </c>
    </row>
    <row r="202" spans="1:14" x14ac:dyDescent="0.2">
      <c r="A202" s="255" t="str">
        <f>výpočty!$R$14</f>
        <v>Függőleges (fentről le)</v>
      </c>
      <c r="B202" t="str">
        <f>výpočty!$R$11</f>
        <v>C3 mechanikával</v>
      </c>
      <c r="C202" t="str">
        <f>výpočty!$R$5</f>
        <v xml:space="preserve">Frame - ráütődő takaró léces vezetéssel </v>
      </c>
      <c r="D202" s="36" t="str">
        <f>výpočty!$W$11</f>
        <v>Cseresznye havana (E23)</v>
      </c>
      <c r="E202" t="s">
        <v>2131</v>
      </c>
      <c r="F202">
        <v>1</v>
      </c>
      <c r="G202" t="str">
        <f>Překlady!$A$170</f>
        <v>A Cseresznye havana színes elkészítése az E23 profilnál, nem kombinálható a FRAME vezetéssel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A Cseresznye havana színes elkészítése az E23 profilnál, nem kombinálható a FRAME vezetéssel</v>
      </c>
      <c r="N202">
        <f t="shared" si="11"/>
        <v>1</v>
      </c>
    </row>
    <row r="203" spans="1:14" x14ac:dyDescent="0.2">
      <c r="A203" s="255" t="str">
        <f>výpočty!$R$14</f>
        <v>Függőleges (fentről le)</v>
      </c>
      <c r="B203" t="str">
        <f>výpočty!$R$11</f>
        <v>C3 mechanikával</v>
      </c>
      <c r="C203" t="str">
        <f>výpočty!$R$5</f>
        <v xml:space="preserve">Frame - ráütődő takaró léces vezetéssel 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Függőleges (fentről le)</v>
      </c>
      <c r="B204" t="str">
        <f>výpočty!$R$11</f>
        <v>C3 mechanikával</v>
      </c>
      <c r="C204" t="str">
        <f>výpočty!$R$5</f>
        <v xml:space="preserve">Frame - ráütődő takaró léces vezetéssel </v>
      </c>
      <c r="D204" s="350" t="str">
        <f>výpočty!$W$14</f>
        <v>Hófehér Matt (E9)</v>
      </c>
      <c r="E204" s="321" t="s">
        <v>2131</v>
      </c>
      <c r="F204" s="321">
        <v>1</v>
      </c>
      <c r="G204" s="321" t="str">
        <f>Překlady!$A$142</f>
        <v>Az E9 profilnál a világos fehér kombinálható csak a Classic és a Top vezetésnél.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Az E9 profilnál a világos fehér kombinálható csak a Classic és a Top vezetésnél.</v>
      </c>
      <c r="N204">
        <f t="shared" si="11"/>
        <v>1</v>
      </c>
    </row>
    <row r="205" spans="1:14" x14ac:dyDescent="0.2">
      <c r="A205" s="255" t="str">
        <f>výpočty!$R$14</f>
        <v>Függőleges (fentről le)</v>
      </c>
      <c r="B205" t="str">
        <f>výpočty!$R$11</f>
        <v>C3 mechanikával</v>
      </c>
      <c r="C205" t="str">
        <f>výpočty!$R$5</f>
        <v xml:space="preserve">Frame - ráütődő takaró léces vezetéssel </v>
      </c>
      <c r="D205" s="36" t="str">
        <f>výpočty!$W$15</f>
        <v>Alumínium-műanyag (E4)</v>
      </c>
      <c r="E205" s="321" t="s">
        <v>2131</v>
      </c>
      <c r="F205" s="321">
        <v>1</v>
      </c>
      <c r="G205" s="321" t="str">
        <f>Překlady!$A$143</f>
        <v xml:space="preserve"> E4 profil az alumínium műanyag színes elkészítése, alkalmas a vízszintes vezetésre,kombinálva a Classic vezetéssel,hátra tekercseléssel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 xml:space="preserve"> E4 profil az alumínium műanyag színes elkészítése, alkalmas a vízszintes vezetésre,kombinálva a Classic vezetéssel,hátra tekercseléssel</v>
      </c>
      <c r="N205">
        <f t="shared" si="11"/>
        <v>1</v>
      </c>
    </row>
    <row r="206" spans="1:14" x14ac:dyDescent="0.2">
      <c r="A206" s="255" t="str">
        <f>výpočty!$R$14</f>
        <v>Függőleges (fentről le)</v>
      </c>
      <c r="B206" t="str">
        <f>výpočty!$R$11</f>
        <v>C3 mechanikával</v>
      </c>
      <c r="C206" t="str">
        <f>výpočty!$R$5</f>
        <v xml:space="preserve">Frame - ráütődő takaró léces vezetéssel 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Függőleges (fentről le)</v>
      </c>
      <c r="B207" t="str">
        <f>výpočty!$R$11</f>
        <v>C3 mechanikával</v>
      </c>
      <c r="C207" t="str">
        <f>výpočty!$R$5</f>
        <v xml:space="preserve">Frame - ráütődő takaró léces vezetéssel 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Függőleges (fentről le)</v>
      </c>
      <c r="B208" t="str">
        <f>výpočty!$R$11</f>
        <v>C3 mechanikával</v>
      </c>
      <c r="C208" t="str">
        <f>výpočty!$R$5</f>
        <v xml:space="preserve">Frame - ráütődő takaró léces vezetéssel </v>
      </c>
      <c r="D208" s="36" t="str">
        <f>výpočty!$W$19</f>
        <v>ALU szélesség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Függőleges (fentről le)</v>
      </c>
      <c r="B209" t="str">
        <f>výpočty!$R$11</f>
        <v>C3 mechanikával</v>
      </c>
      <c r="C209" t="str">
        <f>výpočty!$R$5</f>
        <v xml:space="preserve">Frame - ráütődő takaró léces vezetéssel </v>
      </c>
      <c r="D209" s="27" t="str">
        <f>výpočty!$W$20</f>
        <v>Nemes acél szélesség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Függőleges (fentről le)</v>
      </c>
      <c r="B210" t="str">
        <f>výpočty!$R$11</f>
        <v>C3 mechanikával</v>
      </c>
      <c r="C210" t="str">
        <f>výpočty!$R$6</f>
        <v>TOP - közzézáródó vezetés csavarozásra fém takaró léccel</v>
      </c>
      <c r="D210" s="26" t="str">
        <f>výpočty!$W$3</f>
        <v>Fekete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Függőleges (fentről le)</v>
      </c>
      <c r="B211" t="str">
        <f>výpočty!$R$11</f>
        <v>C3 mechanikával</v>
      </c>
      <c r="C211" t="str">
        <f>výpočty!$R$6</f>
        <v>TOP - közzézáródó vezetés csavarozásra fém takaró léccel</v>
      </c>
      <c r="D211" s="36" t="str">
        <f>výpočty!$W$4</f>
        <v>Fehér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Függőleges (fentről le)</v>
      </c>
      <c r="B212" t="str">
        <f>výpočty!$R$11</f>
        <v>C3 mechanikával</v>
      </c>
      <c r="C212" t="str">
        <f>výpočty!$R$6</f>
        <v>TOP - közzézáródó vezetés csavarozásra fém takaró léccel</v>
      </c>
      <c r="D212" s="36" t="str">
        <f>výpočty!$W$5</f>
        <v>Szürke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Függőleges (fentről le)</v>
      </c>
      <c r="B213" t="str">
        <f>výpočty!$R$11</f>
        <v>C3 mechanikával</v>
      </c>
      <c r="C213" t="str">
        <f>výpočty!$R$6</f>
        <v>TOP - közzézáródó vezetés csavarozásra fém takaró léccel</v>
      </c>
      <c r="D213" s="36" t="str">
        <f>výpočty!$W$6</f>
        <v>Alumínium-műanyag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Függőleges (fentről le)</v>
      </c>
      <c r="B214" t="str">
        <f>výpočty!$R$11</f>
        <v>C3 mechanikával</v>
      </c>
      <c r="C214" t="str">
        <f>výpočty!$R$6</f>
        <v>TOP - közzézáródó vezetés csavarozásra fém takaró léccel</v>
      </c>
      <c r="D214" s="36" t="str">
        <f>výpočty!$W$7</f>
        <v>Bükk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Függőleges (fentről le)</v>
      </c>
      <c r="B215" t="str">
        <f>výpočty!$R$11</f>
        <v>C3 mechanikával</v>
      </c>
      <c r="C215" t="str">
        <f>výpočty!$R$6</f>
        <v>TOP - közzézáródó vezetés csavarozásra fém takaró léccel</v>
      </c>
      <c r="D215" s="36" t="str">
        <f>výpočty!$W$8</f>
        <v>Cseresznye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Függőleges (fentről le)</v>
      </c>
      <c r="B216" t="str">
        <f>výpočty!$R$11</f>
        <v>C3 mechanikával</v>
      </c>
      <c r="C216" t="str">
        <f>výpočty!$R$6</f>
        <v>TOP - közzézáródó vezetés csavarozásra fém takaró léccel</v>
      </c>
      <c r="D216" s="36" t="str">
        <f>výpočty!$W$9</f>
        <v>Jávor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Függőleges (fentről le)</v>
      </c>
      <c r="B217" t="str">
        <f>výpočty!$R$11</f>
        <v>C3 mechanikával</v>
      </c>
      <c r="C217" t="str">
        <f>výpočty!$R$6</f>
        <v>TOP - közzézáródó vezetés csavarozásra fém takaró léccel</v>
      </c>
      <c r="D217" s="36" t="str">
        <f>výpočty!$W$10</f>
        <v>Nyír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Függőleges (fentről le)</v>
      </c>
      <c r="B218" t="str">
        <f>výpočty!$R$11</f>
        <v>C3 mechanikával</v>
      </c>
      <c r="C218" t="str">
        <f>výpočty!$R$6</f>
        <v>TOP - közzézáródó vezetés csavarozásra fém takaró léccel</v>
      </c>
      <c r="D218" s="36" t="str">
        <f>výpočty!$W$11</f>
        <v>Cseresznye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Függőleges (fentről le)</v>
      </c>
      <c r="B219" t="str">
        <f>výpočty!$R$11</f>
        <v>C3 mechanikával</v>
      </c>
      <c r="C219" t="str">
        <f>výpočty!$R$6</f>
        <v>TOP - közzézáródó vezetés csavarozásra fém takaró léccel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Függőleges (fentről le)</v>
      </c>
      <c r="B220" t="str">
        <f>výpočty!$R$11</f>
        <v>C3 mechanikával</v>
      </c>
      <c r="C220" t="str">
        <f>výpočty!$R$6</f>
        <v>TOP - közzézáródó vezetés csavarozásra fém takaró léccel</v>
      </c>
      <c r="D220" s="350" t="str">
        <f>výpočty!$W$14</f>
        <v>Hófehér Matt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Függőleges (fentről le)</v>
      </c>
      <c r="B221" t="str">
        <f>výpočty!$R$11</f>
        <v>C3 mechanikával</v>
      </c>
      <c r="C221" t="str">
        <f>výpočty!$R$6</f>
        <v>TOP - közzézáródó vezetés csavarozásra fém takaró léccel</v>
      </c>
      <c r="D221" s="36" t="str">
        <f>výpočty!$W$15</f>
        <v>Alumínium-műanyag (E4)</v>
      </c>
      <c r="E221" s="321" t="s">
        <v>2131</v>
      </c>
      <c r="F221" s="321">
        <v>1</v>
      </c>
      <c r="G221" s="321" t="str">
        <f>Překlady!$A$143</f>
        <v xml:space="preserve"> E4 profil az alumínium műanyag színes elkészítése, alkalmas a vízszintes vezetésre,kombinálva a Classic vezetéssel,hátra tekercseléssel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 xml:space="preserve"> E4 profil az alumínium műanyag színes elkészítése, alkalmas a vízszintes vezetésre,kombinálva a Classic vezetéssel,hátra tekercseléssel</v>
      </c>
      <c r="N221">
        <f t="shared" si="11"/>
        <v>1</v>
      </c>
    </row>
    <row r="222" spans="1:14" x14ac:dyDescent="0.2">
      <c r="A222" s="255" t="str">
        <f>výpočty!$R$14</f>
        <v>Függőleges (fentről le)</v>
      </c>
      <c r="B222" t="str">
        <f>výpočty!$R$11</f>
        <v>C3 mechanikával</v>
      </c>
      <c r="C222" t="str">
        <f>výpočty!$R$6</f>
        <v>TOP - közzézáródó vezetés csavarozásra fém takaró léccel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Függőleges (fentről le)</v>
      </c>
      <c r="B223" t="str">
        <f>výpočty!$R$11</f>
        <v>C3 mechanikával</v>
      </c>
      <c r="C223" t="str">
        <f>výpočty!$R$6</f>
        <v>TOP - közzézáródó vezetés csavarozásra fém takaró léccel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Függőleges (fentről le)</v>
      </c>
      <c r="B224" t="str">
        <f>výpočty!$R$11</f>
        <v>C3 mechanikával</v>
      </c>
      <c r="C224" t="str">
        <f>výpočty!$R$6</f>
        <v>TOP - közzézáródó vezetés csavarozásra fém takaró léccel</v>
      </c>
      <c r="D224" s="36" t="str">
        <f>výpočty!$W$19</f>
        <v>ALU szélesség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Függőleges (fentről le)</v>
      </c>
      <c r="B225" t="str">
        <f>výpočty!$R$11</f>
        <v>C3 mechanikával</v>
      </c>
      <c r="C225" t="str">
        <f>výpočty!$R$6</f>
        <v>TOP - közzézáródó vezetés csavarozásra fém takaró léccel</v>
      </c>
      <c r="D225" s="27" t="str">
        <f>výpočty!$W$20</f>
        <v>Nemes acél szélesség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Függőleges (fentről le)</v>
      </c>
      <c r="B226" t="str">
        <f>výpočty!$R$11</f>
        <v>C3 mechanikával</v>
      </c>
      <c r="C226" t="str">
        <f>výpočty!$R$7</f>
        <v>Ráütődő metallic-line vezetéssel 29mm és C3 mech.</v>
      </c>
      <c r="D226" s="26" t="str">
        <f>výpočty!$W$3</f>
        <v>Fekete (E23)</v>
      </c>
      <c r="E226" t="s">
        <v>2131</v>
      </c>
      <c r="F226">
        <v>1</v>
      </c>
      <c r="G226" s="321" t="str">
        <f>Překlady!$A$151</f>
        <v>A ráütődő vezetésü rendszer metallic-line  29mm és  C3 mech.-át,  javasoljuk a Metallic Line profillal kombinálni.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A ráütődő vezetésü rendszer metallic-line  29mm és  C3 mech.-át,  javasoljuk a Metallic Line profillal kombinálni.</v>
      </c>
      <c r="N226">
        <f t="shared" si="11"/>
        <v>1</v>
      </c>
    </row>
    <row r="227" spans="1:14" x14ac:dyDescent="0.2">
      <c r="A227" s="255" t="str">
        <f>výpočty!$R$14</f>
        <v>Függőleges (fentről le)</v>
      </c>
      <c r="B227" t="str">
        <f>výpočty!$R$11</f>
        <v>C3 mechanikával</v>
      </c>
      <c r="C227" t="str">
        <f>výpočty!$R$7</f>
        <v>Ráütődő metallic-line vezetéssel 29mm és C3 mech.</v>
      </c>
      <c r="D227" s="36" t="str">
        <f>výpočty!$W$4</f>
        <v>Fehér (E23)</v>
      </c>
      <c r="E227" t="s">
        <v>2131</v>
      </c>
      <c r="F227">
        <v>1</v>
      </c>
      <c r="G227" s="321" t="str">
        <f>Překlady!$A$151</f>
        <v>A ráütődő vezetésü rendszer metallic-line  29mm és  C3 mech.-át,  javasoljuk a Metallic Line profillal kombinálni.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A ráütődő vezetésü rendszer metallic-line  29mm és  C3 mech.-át,  javasoljuk a Metallic Line profillal kombinálni.</v>
      </c>
      <c r="N227">
        <f t="shared" si="11"/>
        <v>1</v>
      </c>
    </row>
    <row r="228" spans="1:14" x14ac:dyDescent="0.2">
      <c r="A228" s="255" t="str">
        <f>výpočty!$R$14</f>
        <v>Függőleges (fentről le)</v>
      </c>
      <c r="B228" t="str">
        <f>výpočty!$R$11</f>
        <v>C3 mechanikával</v>
      </c>
      <c r="C228" t="str">
        <f>výpočty!$R$7</f>
        <v>Ráütődő metallic-line vezetéssel 29mm és C3 mech.</v>
      </c>
      <c r="D228" s="36" t="str">
        <f>výpočty!$W$5</f>
        <v>Szürke (E23)</v>
      </c>
      <c r="E228" t="s">
        <v>2131</v>
      </c>
      <c r="F228">
        <v>1</v>
      </c>
      <c r="G228" s="321" t="str">
        <f>Překlady!$A$151</f>
        <v>A ráütődő vezetésü rendszer metallic-line  29mm és  C3 mech.-át,  javasoljuk a Metallic Line profillal kombinálni.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A ráütődő vezetésü rendszer metallic-line  29mm és  C3 mech.-át,  javasoljuk a Metallic Line profillal kombinálni.</v>
      </c>
      <c r="N228">
        <f t="shared" si="11"/>
        <v>1</v>
      </c>
    </row>
    <row r="229" spans="1:14" x14ac:dyDescent="0.2">
      <c r="A229" s="255" t="str">
        <f>výpočty!$R$14</f>
        <v>Függőleges (fentről le)</v>
      </c>
      <c r="B229" t="str">
        <f>výpočty!$R$11</f>
        <v>C3 mechanikával</v>
      </c>
      <c r="C229" t="str">
        <f>výpočty!$R$7</f>
        <v>Ráütődő metallic-line vezetéssel 29mm és C3 mech.</v>
      </c>
      <c r="D229" s="36" t="str">
        <f>výpočty!$W$6</f>
        <v>Alumínium-műanyag (E23)</v>
      </c>
      <c r="E229" t="s">
        <v>2131</v>
      </c>
      <c r="F229">
        <v>1</v>
      </c>
      <c r="G229" s="321" t="str">
        <f>Překlady!$A$151</f>
        <v>A ráütődő vezetésü rendszer metallic-line  29mm és  C3 mech.-át,  javasoljuk a Metallic Line profillal kombinálni.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A ráütődő vezetésü rendszer metallic-line  29mm és  C3 mech.-át,  javasoljuk a Metallic Line profillal kombinálni.</v>
      </c>
      <c r="N229">
        <f t="shared" si="11"/>
        <v>1</v>
      </c>
    </row>
    <row r="230" spans="1:14" x14ac:dyDescent="0.2">
      <c r="A230" s="255" t="str">
        <f>výpočty!$R$14</f>
        <v>Függőleges (fentről le)</v>
      </c>
      <c r="B230" t="str">
        <f>výpočty!$R$11</f>
        <v>C3 mechanikával</v>
      </c>
      <c r="C230" t="str">
        <f>výpočty!$R$7</f>
        <v>Ráütődő metallic-line vezetéssel 29mm és C3 mech.</v>
      </c>
      <c r="D230" s="36" t="str">
        <f>výpočty!$W$7</f>
        <v>Bükk (E23)</v>
      </c>
      <c r="E230" t="s">
        <v>2131</v>
      </c>
      <c r="F230">
        <v>1</v>
      </c>
      <c r="G230" s="321" t="str">
        <f>Překlady!$A$151</f>
        <v>A ráütődő vezetésü rendszer metallic-line  29mm és  C3 mech.-át,  javasoljuk a Metallic Line profillal kombinálni.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A ráütődő vezetésü rendszer metallic-line  29mm és  C3 mech.-át,  javasoljuk a Metallic Line profillal kombinálni.</v>
      </c>
      <c r="N230">
        <f t="shared" si="11"/>
        <v>1</v>
      </c>
    </row>
    <row r="231" spans="1:14" x14ac:dyDescent="0.2">
      <c r="A231" s="255" t="str">
        <f>výpočty!$R$14</f>
        <v>Függőleges (fentről le)</v>
      </c>
      <c r="B231" t="str">
        <f>výpočty!$R$11</f>
        <v>C3 mechanikával</v>
      </c>
      <c r="C231" t="str">
        <f>výpočty!$R$7</f>
        <v>Ráütődő metallic-line vezetéssel 29mm és C3 mech.</v>
      </c>
      <c r="D231" s="36" t="str">
        <f>výpočty!$W$8</f>
        <v>Cseresznye (E23)</v>
      </c>
      <c r="E231" t="s">
        <v>2131</v>
      </c>
      <c r="F231">
        <v>1</v>
      </c>
      <c r="G231" s="321" t="str">
        <f>Překlady!$A$151</f>
        <v>A ráütődő vezetésü rendszer metallic-line  29mm és  C3 mech.-át,  javasoljuk a Metallic Line profillal kombinálni.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A ráütődő vezetésü rendszer metallic-line  29mm és  C3 mech.-át,  javasoljuk a Metallic Line profillal kombinálni.</v>
      </c>
      <c r="N231">
        <f t="shared" si="11"/>
        <v>1</v>
      </c>
    </row>
    <row r="232" spans="1:14" x14ac:dyDescent="0.2">
      <c r="A232" s="255" t="str">
        <f>výpočty!$R$14</f>
        <v>Függőleges (fentről le)</v>
      </c>
      <c r="B232" t="str">
        <f>výpočty!$R$11</f>
        <v>C3 mechanikával</v>
      </c>
      <c r="C232" t="str">
        <f>výpočty!$R$7</f>
        <v>Ráütődő metallic-line vezetéssel 29mm és C3 mech.</v>
      </c>
      <c r="D232" s="36" t="str">
        <f>výpočty!$W$9</f>
        <v>Jávor (E23)</v>
      </c>
      <c r="E232" t="s">
        <v>2131</v>
      </c>
      <c r="F232">
        <v>1</v>
      </c>
      <c r="G232" s="321" t="str">
        <f>Překlady!$A$151</f>
        <v>A ráütődő vezetésü rendszer metallic-line  29mm és  C3 mech.-át,  javasoljuk a Metallic Line profillal kombinálni.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A ráütődő vezetésü rendszer metallic-line  29mm és  C3 mech.-át,  javasoljuk a Metallic Line profillal kombinálni.</v>
      </c>
      <c r="N232">
        <f t="shared" si="11"/>
        <v>1</v>
      </c>
    </row>
    <row r="233" spans="1:14" x14ac:dyDescent="0.2">
      <c r="A233" s="255" t="str">
        <f>výpočty!$R$14</f>
        <v>Függőleges (fentről le)</v>
      </c>
      <c r="B233" t="str">
        <f>výpočty!$R$11</f>
        <v>C3 mechanikával</v>
      </c>
      <c r="C233" t="str">
        <f>výpočty!$R$7</f>
        <v>Ráütődő metallic-line vezetéssel 29mm és C3 mech.</v>
      </c>
      <c r="D233" s="36" t="str">
        <f>výpočty!$W$10</f>
        <v>Nyír (E23)</v>
      </c>
      <c r="E233" t="s">
        <v>2131</v>
      </c>
      <c r="F233">
        <v>1</v>
      </c>
      <c r="G233" s="321" t="str">
        <f>Překlady!$A$151</f>
        <v>A ráütődő vezetésü rendszer metallic-line  29mm és  C3 mech.-át,  javasoljuk a Metallic Line profillal kombinálni.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A ráütődő vezetésü rendszer metallic-line  29mm és  C3 mech.-át,  javasoljuk a Metallic Line profillal kombinálni.</v>
      </c>
      <c r="N233">
        <f t="shared" si="11"/>
        <v>1</v>
      </c>
    </row>
    <row r="234" spans="1:14" x14ac:dyDescent="0.2">
      <c r="A234" s="255" t="str">
        <f>výpočty!$R$14</f>
        <v>Függőleges (fentről le)</v>
      </c>
      <c r="B234" t="str">
        <f>výpočty!$R$11</f>
        <v>C3 mechanikával</v>
      </c>
      <c r="C234" t="str">
        <f>výpočty!$R$7</f>
        <v>Ráütődő metallic-line vezetéssel 29mm és C3 mech.</v>
      </c>
      <c r="D234" s="36" t="str">
        <f>výpočty!$W$11</f>
        <v>Cseresznye havana (E23)</v>
      </c>
      <c r="E234" t="s">
        <v>2131</v>
      </c>
      <c r="F234">
        <v>1</v>
      </c>
      <c r="G234" s="321" t="str">
        <f>Překlady!$A$151</f>
        <v>A ráütődő vezetésü rendszer metallic-line  29mm és  C3 mech.-át,  javasoljuk a Metallic Line profillal kombinálni.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A ráütődő vezetésü rendszer metallic-line  29mm és  C3 mech.-át,  javasoljuk a Metallic Line profillal kombinálni.</v>
      </c>
      <c r="N234">
        <f t="shared" si="11"/>
        <v>1</v>
      </c>
    </row>
    <row r="235" spans="1:14" x14ac:dyDescent="0.2">
      <c r="A235" s="255" t="str">
        <f>výpočty!$R$14</f>
        <v>Függőleges (fentről le)</v>
      </c>
      <c r="B235" t="str">
        <f>výpočty!$R$11</f>
        <v>C3 mechanikával</v>
      </c>
      <c r="C235" t="str">
        <f>výpočty!$R$7</f>
        <v>Ráütődő metallic-line vezetéssel 29mm és C3 mech.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A ráütődő vezetésü rendszer metallic-line  29mm és  C3 mech.-át,  javasoljuk a Metallic Line profillal kombinálni.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A ráütődő vezetésü rendszer metallic-line  29mm és  C3 mech.-át,  javasoljuk a Metallic Line profillal kombinálni.</v>
      </c>
      <c r="N235">
        <f t="shared" si="11"/>
        <v>1</v>
      </c>
    </row>
    <row r="236" spans="1:14" x14ac:dyDescent="0.2">
      <c r="A236" s="255" t="str">
        <f>výpočty!$R$14</f>
        <v>Függőleges (fentről le)</v>
      </c>
      <c r="B236" t="str">
        <f>výpočty!$R$11</f>
        <v>C3 mechanikával</v>
      </c>
      <c r="C236" t="str">
        <f>výpočty!$R$7</f>
        <v>Ráütődő metallic-line vezetéssel 29mm és C3 mech.</v>
      </c>
      <c r="D236" s="36" t="str">
        <f>výpočty!$W$14</f>
        <v>Hófehér Matt (E9)</v>
      </c>
      <c r="E236" t="s">
        <v>2131</v>
      </c>
      <c r="F236">
        <v>1</v>
      </c>
      <c r="G236" s="321" t="str">
        <f>Překlady!$A$142</f>
        <v>Az E9 profilnál a világos fehér kombinálható csak a Classic és a Top vezetésnél.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Az E9 profilnál a világos fehér kombinálható csak a Classic és a Top vezetésnél.</v>
      </c>
      <c r="N236">
        <f t="shared" si="11"/>
        <v>1</v>
      </c>
    </row>
    <row r="237" spans="1:14" x14ac:dyDescent="0.2">
      <c r="A237" s="255" t="str">
        <f>výpočty!$R$14</f>
        <v>Függőleges (fentről le)</v>
      </c>
      <c r="B237" t="str">
        <f>výpočty!$R$11</f>
        <v>C3 mechanikával</v>
      </c>
      <c r="C237" t="str">
        <f>výpočty!$R$7</f>
        <v>Ráütődő metallic-line vezetéssel 29mm és C3 mech.</v>
      </c>
      <c r="D237" s="36" t="str">
        <f>výpočty!$W$15</f>
        <v>Alumínium-műanyag (E4)</v>
      </c>
      <c r="E237" t="s">
        <v>2131</v>
      </c>
      <c r="F237">
        <v>1</v>
      </c>
      <c r="G237" s="321" t="str">
        <f>Překlady!$A$143</f>
        <v xml:space="preserve"> E4 profil az alumínium műanyag színes elkészítése, alkalmas a vízszintes vezetésre,kombinálva a Classic vezetéssel,hátra tekercseléssel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 xml:space="preserve"> E4 profil az alumínium műanyag színes elkészítése, alkalmas a vízszintes vezetésre,kombinálva a Classic vezetéssel,hátra tekercseléssel</v>
      </c>
      <c r="N237">
        <f t="shared" si="11"/>
        <v>1</v>
      </c>
    </row>
    <row r="238" spans="1:14" x14ac:dyDescent="0.2">
      <c r="A238" s="255" t="str">
        <f>výpočty!$R$14</f>
        <v>Függőleges (fentről le)</v>
      </c>
      <c r="B238" t="str">
        <f>výpočty!$R$11</f>
        <v>C3 mechanikával</v>
      </c>
      <c r="C238" t="str">
        <f>výpočty!$R$7</f>
        <v>Ráütődő metallic-line vezetéssel 29mm és C3 mech.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Függőleges (fentről le)</v>
      </c>
      <c r="B239" t="str">
        <f>výpočty!$R$11</f>
        <v>C3 mechanikával</v>
      </c>
      <c r="C239" t="str">
        <f>výpočty!$R$7</f>
        <v>Ráütődő metallic-line vezetéssel 29mm és C3 mech.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Függőleges (fentről le)</v>
      </c>
      <c r="B240" t="str">
        <f>výpočty!$R$11</f>
        <v>C3 mechanikával</v>
      </c>
      <c r="C240" t="str">
        <f>výpočty!$R$7</f>
        <v>Ráütődő metallic-line vezetéssel 29mm és C3 mech.</v>
      </c>
      <c r="D240" s="36" t="str">
        <f>výpočty!$W$19</f>
        <v>ALU szélesség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Függőleges (fentről le)</v>
      </c>
      <c r="B241" t="str">
        <f>výpočty!$R$11</f>
        <v>C3 mechanikával</v>
      </c>
      <c r="C241" t="str">
        <f>výpočty!$R$7</f>
        <v>Ráütődő metallic-line vezetéssel 29mm és C3 mech.</v>
      </c>
      <c r="D241" s="27" t="str">
        <f>výpočty!$W$20</f>
        <v>Nemes acél szélesség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Horizontális (balról jobbra)</v>
      </c>
      <c r="B242" s="256" t="str">
        <f>výpočty!$R$9</f>
        <v>Hátra</v>
      </c>
      <c r="C242" t="str">
        <f>výpočty!$R$3</f>
        <v>TOP basic-közézáródó vezetés csavarozásra műanyag</v>
      </c>
      <c r="D242" s="26" t="str">
        <f>výpočty!$W$3</f>
        <v>Fekete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Horizontális (balról jobbra)</v>
      </c>
      <c r="B243" s="256" t="str">
        <f>výpočty!$R$9</f>
        <v>Hátra</v>
      </c>
      <c r="C243" t="str">
        <f>výpočty!$R$3</f>
        <v>TOP basic-közézáródó vezetés csavarozásra műanyag</v>
      </c>
      <c r="D243" s="36" t="str">
        <f>výpočty!$W$4</f>
        <v>Fehér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Horizontális (balról jobbra)</v>
      </c>
      <c r="B244" s="256" t="str">
        <f>výpočty!$R$9</f>
        <v>Hátra</v>
      </c>
      <c r="C244" t="str">
        <f>výpočty!$R$3</f>
        <v>TOP basic-közézáródó vezetés csavarozásra műanyag</v>
      </c>
      <c r="D244" s="36" t="str">
        <f>výpočty!$W$5</f>
        <v>Szürke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Horizontális (balról jobbra)</v>
      </c>
      <c r="B245" s="256" t="str">
        <f>výpočty!$R$9</f>
        <v>Hátra</v>
      </c>
      <c r="C245" t="str">
        <f>výpočty!$R$3</f>
        <v>TOP basic-közézáródó vezetés csavarozásra műanyag</v>
      </c>
      <c r="D245" s="36" t="str">
        <f>výpočty!$W$6</f>
        <v>Alumínium-műanyag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Horizontális (balról jobbra)</v>
      </c>
      <c r="B246" s="256" t="str">
        <f>výpočty!$R$9</f>
        <v>Hátra</v>
      </c>
      <c r="C246" t="str">
        <f>výpočty!$R$3</f>
        <v>TOP basic-közézáródó vezetés csavarozásra műanyag</v>
      </c>
      <c r="D246" s="36" t="str">
        <f>výpočty!$W$7</f>
        <v>Bükk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Horizontális (balról jobbra)</v>
      </c>
      <c r="B247" s="256" t="str">
        <f>výpočty!$R$9</f>
        <v>Hátra</v>
      </c>
      <c r="C247" t="str">
        <f>výpočty!$R$3</f>
        <v>TOP basic-közézáródó vezetés csavarozásra műanyag</v>
      </c>
      <c r="D247" s="36" t="str">
        <f>výpočty!$W$8</f>
        <v>Cseresznye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Horizontális (balról jobbra)</v>
      </c>
      <c r="B248" s="256" t="str">
        <f>výpočty!$R$9</f>
        <v>Hátra</v>
      </c>
      <c r="C248" t="str">
        <f>výpočty!$R$3</f>
        <v>TOP basic-közézáródó vezetés csavarozásra műanyag</v>
      </c>
      <c r="D248" s="36" t="str">
        <f>výpočty!$W$9</f>
        <v>Jávor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Horizontális (balról jobbra)</v>
      </c>
      <c r="B249" s="256" t="str">
        <f>výpočty!$R$9</f>
        <v>Hátra</v>
      </c>
      <c r="C249" t="str">
        <f>výpočty!$R$3</f>
        <v>TOP basic-közézáródó vezetés csavarozásra műanyag</v>
      </c>
      <c r="D249" s="36" t="str">
        <f>výpočty!$W$10</f>
        <v>Nyír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Horizontális (balról jobbra)</v>
      </c>
      <c r="B250" s="256" t="str">
        <f>výpočty!$R$9</f>
        <v>Hátra</v>
      </c>
      <c r="C250" t="str">
        <f>výpočty!$R$3</f>
        <v>TOP basic-közézáródó vezetés csavarozásra műanyag</v>
      </c>
      <c r="D250" s="36" t="str">
        <f>výpočty!$W$11</f>
        <v>Cseresznye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Horizontális (balról jobbra)</v>
      </c>
      <c r="B251" s="256" t="str">
        <f>výpočty!$R$9</f>
        <v>Hátra</v>
      </c>
      <c r="C251" t="str">
        <f>výpočty!$R$3</f>
        <v>TOP basic-közézáródó vezetés csavarozásra műanyag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Horizontális (balról jobbra)</v>
      </c>
      <c r="B252" s="256" t="str">
        <f>výpočty!$R$9</f>
        <v>Hátra</v>
      </c>
      <c r="C252" t="str">
        <f>výpočty!$R$3</f>
        <v>TOP basic-közézáródó vezetés csavarozásra műanyag</v>
      </c>
      <c r="D252" s="36" t="str">
        <f>výpočty!$W$14</f>
        <v>Hófehér Matt (E9)</v>
      </c>
      <c r="E252" s="321" t="s">
        <v>2131</v>
      </c>
      <c r="F252" s="321">
        <v>1</v>
      </c>
      <c r="G252" s="321" t="str">
        <f>Překlady!$A$142</f>
        <v>Az E9 profilnál a világos fehér kombinálható csak a Classic és a Top vezetésnél.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Az E9 profilnál a világos fehér kombinálható csak a Classic és a Top vezetésnél.</v>
      </c>
      <c r="N252">
        <f t="shared" si="11"/>
        <v>1</v>
      </c>
    </row>
    <row r="253" spans="1:14" x14ac:dyDescent="0.2">
      <c r="A253" s="255" t="str">
        <f>výpočty!$R$15</f>
        <v>Horizontális (balról jobbra)</v>
      </c>
      <c r="B253" s="256" t="str">
        <f>výpočty!$R$9</f>
        <v>Hátra</v>
      </c>
      <c r="C253" t="str">
        <f>výpočty!$R$3</f>
        <v>TOP basic-közézáródó vezetés csavarozásra műanyag</v>
      </c>
      <c r="D253" s="36" t="str">
        <f>výpočty!$W$15</f>
        <v>Alumínium-műanyag (E4)</v>
      </c>
      <c r="E253" t="s">
        <v>2131</v>
      </c>
      <c r="F253">
        <v>1</v>
      </c>
      <c r="G253" s="321" t="str">
        <f>Překlady!$A$143</f>
        <v xml:space="preserve"> E4 profil az alumínium műanyag színes elkészítése, alkalmas a vízszintes vezetésre,kombinálva a Classic vezetéssel,hátra tekercseléssel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 xml:space="preserve"> E4 profil az alumínium műanyag színes elkészítése, alkalmas a vízszintes vezetésre,kombinálva a Classic vezetéssel,hátra tekercseléssel</v>
      </c>
      <c r="N253">
        <f t="shared" si="11"/>
        <v>1</v>
      </c>
    </row>
    <row r="254" spans="1:14" x14ac:dyDescent="0.2">
      <c r="A254" s="255" t="str">
        <f>výpočty!$R$15</f>
        <v>Horizontális (balról jobbra)</v>
      </c>
      <c r="B254" s="256" t="str">
        <f>výpočty!$R$9</f>
        <v>Hátra</v>
      </c>
      <c r="C254" t="str">
        <f>výpočty!$R$3</f>
        <v>TOP basic-közézáródó vezetés csavarozásra műanyag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Nem lehet kombinálni a TOP BASIC vezetésű rendszert a redőny profillal Metallic line.Szükséges választani TOP vezetésüt.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Nem lehet kombinálni a TOP BASIC vezetésű rendszert a redőny profillal Metallic line.Szükséges választani TOP vezetésüt.</v>
      </c>
      <c r="N254">
        <f t="shared" si="11"/>
        <v>1</v>
      </c>
    </row>
    <row r="255" spans="1:14" x14ac:dyDescent="0.2">
      <c r="A255" s="255" t="str">
        <f>výpočty!$R$15</f>
        <v>Horizontális (balról jobbra)</v>
      </c>
      <c r="B255" s="256" t="str">
        <f>výpočty!$R$9</f>
        <v>Hátra</v>
      </c>
      <c r="C255" t="str">
        <f>výpočty!$R$3</f>
        <v>TOP basic-közézáródó vezetés csavarozásra műanyag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Nem lehet kombinálni a TOP BASIC vezetésű rendszert a redőny profillal Metallic line.Szükséges választani TOP vezetésüt.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Nem lehet kombinálni a TOP BASIC vezetésű rendszert a redőny profillal Metallic line.Szükséges választani TOP vezetésüt.</v>
      </c>
      <c r="N255">
        <f t="shared" si="11"/>
        <v>1</v>
      </c>
    </row>
    <row r="256" spans="1:14" x14ac:dyDescent="0.2">
      <c r="A256" s="255" t="str">
        <f>výpočty!$R$15</f>
        <v>Horizontális (balról jobbra)</v>
      </c>
      <c r="B256" s="256" t="str">
        <f>výpočty!$R$9</f>
        <v>Hátra</v>
      </c>
      <c r="C256" t="str">
        <f>výpočty!$R$3</f>
        <v>TOP basic-közézáródó vezetés csavarozásra műanyag</v>
      </c>
      <c r="D256" s="36" t="str">
        <f>výpočty!$W$19</f>
        <v>ALU szélesség 25 mm (metallic-line)</v>
      </c>
      <c r="E256" t="s">
        <v>2131</v>
      </c>
      <c r="F256">
        <v>1</v>
      </c>
      <c r="G256" s="321" t="str">
        <f>Překlady!$A$144</f>
        <v>Nem lehet kombinálni a TOP BASIC vezetésű rendszert a redőny profillal Metallic line.Szükséges választani TOP vezetésüt.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Nem lehet kombinálni a TOP BASIC vezetésű rendszert a redőny profillal Metallic line.Szükséges választani TOP vezetésüt.</v>
      </c>
      <c r="N256">
        <f t="shared" si="11"/>
        <v>1</v>
      </c>
    </row>
    <row r="257" spans="1:14" ht="13.5" thickBot="1" x14ac:dyDescent="0.25">
      <c r="A257" s="255" t="str">
        <f>výpočty!$R$15</f>
        <v>Horizontális (balról jobbra)</v>
      </c>
      <c r="B257" s="256" t="str">
        <f>výpočty!$R$9</f>
        <v>Hátra</v>
      </c>
      <c r="C257" t="str">
        <f>výpočty!$R$3</f>
        <v>TOP basic-közézáródó vezetés csavarozásra műanyag</v>
      </c>
      <c r="D257" s="27" t="str">
        <f>výpočty!$W$20</f>
        <v>Nemes acél szélesség 25 mm (metallic-line)</v>
      </c>
      <c r="E257" t="s">
        <v>2131</v>
      </c>
      <c r="F257">
        <v>1</v>
      </c>
      <c r="G257" s="321" t="str">
        <f>Překlady!$A$144</f>
        <v>Nem lehet kombinálni a TOP BASIC vezetésű rendszert a redőny profillal Metallic line.Szükséges választani TOP vezetésüt.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Nem lehet kombinálni a TOP BASIC vezetésű rendszert a redőny profillal Metallic line.Szükséges választani TOP vezetésüt.</v>
      </c>
      <c r="N257">
        <f t="shared" si="11"/>
        <v>1</v>
      </c>
    </row>
    <row r="258" spans="1:14" x14ac:dyDescent="0.2">
      <c r="A258" s="255" t="str">
        <f>výpočty!$R$15</f>
        <v>Horizontális (balról jobbra)</v>
      </c>
      <c r="B258" s="256" t="str">
        <f>výpočty!$R$9</f>
        <v>Hátra</v>
      </c>
      <c r="C258" t="str">
        <f>výpočty!$R$4</f>
        <v>Classic - közézáródó vezetés bemarásra</v>
      </c>
      <c r="D258" s="26" t="str">
        <f>výpočty!$W$3</f>
        <v>Fekete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Horizontális (balról jobbra)</v>
      </c>
      <c r="B259" s="256" t="str">
        <f>výpočty!$R$9</f>
        <v>Hátra</v>
      </c>
      <c r="C259" t="str">
        <f>výpočty!$R$4</f>
        <v>Classic - közézáródó vezetés bemarásra</v>
      </c>
      <c r="D259" s="36" t="str">
        <f>výpočty!$W$4</f>
        <v>Fehér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Horizontális (balról jobbra)</v>
      </c>
      <c r="B260" s="256" t="str">
        <f>výpočty!$R$9</f>
        <v>Hátra</v>
      </c>
      <c r="C260" t="str">
        <f>výpočty!$R$4</f>
        <v>Classic - közézáródó vezetés bemarásra</v>
      </c>
      <c r="D260" s="36" t="str">
        <f>výpočty!$W$5</f>
        <v>Szürke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Horizontális (balról jobbra)</v>
      </c>
      <c r="B261" s="256" t="str">
        <f>výpočty!$R$9</f>
        <v>Hátra</v>
      </c>
      <c r="C261" t="str">
        <f>výpočty!$R$4</f>
        <v>Classic - közézáródó vezetés bemarásra</v>
      </c>
      <c r="D261" s="36" t="str">
        <f>výpočty!$W$6</f>
        <v>Alumínium-műanyag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Horizontális (balról jobbra)</v>
      </c>
      <c r="B262" s="256" t="str">
        <f>výpočty!$R$9</f>
        <v>Hátra</v>
      </c>
      <c r="C262" t="str">
        <f>výpočty!$R$4</f>
        <v>Classic - közézáródó vezetés bemarásra</v>
      </c>
      <c r="D262" s="36" t="str">
        <f>výpočty!$W$7</f>
        <v>Bükk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Horizontális (balról jobbra)</v>
      </c>
      <c r="B263" s="256" t="str">
        <f>výpočty!$R$9</f>
        <v>Hátra</v>
      </c>
      <c r="C263" t="str">
        <f>výpočty!$R$4</f>
        <v>Classic - közézáródó vezetés bemarásra</v>
      </c>
      <c r="D263" s="36" t="str">
        <f>výpočty!$W$8</f>
        <v>Cseresznye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Horizontális (balról jobbra)</v>
      </c>
      <c r="B264" s="256" t="str">
        <f>výpočty!$R$9</f>
        <v>Hátra</v>
      </c>
      <c r="C264" t="str">
        <f>výpočty!$R$4</f>
        <v>Classic - közézáródó vezetés bemarásra</v>
      </c>
      <c r="D264" s="36" t="str">
        <f>výpočty!$W$9</f>
        <v>Jávor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Horizontális (balról jobbra)</v>
      </c>
      <c r="B265" s="256" t="str">
        <f>výpočty!$R$9</f>
        <v>Hátra</v>
      </c>
      <c r="C265" t="str">
        <f>výpočty!$R$4</f>
        <v>Classic - közézáródó vezetés bemarásra</v>
      </c>
      <c r="D265" s="36" t="str">
        <f>výpočty!$W$10</f>
        <v>Nyír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Horizontális (balról jobbra)</v>
      </c>
      <c r="B266" s="256" t="str">
        <f>výpočty!$R$9</f>
        <v>Hátra</v>
      </c>
      <c r="C266" t="str">
        <f>výpočty!$R$4</f>
        <v>Classic - közézáródó vezetés bemarásra</v>
      </c>
      <c r="D266" s="36" t="str">
        <f>výpočty!$W$11</f>
        <v>Cseresznye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Horizontális (balról jobbra)</v>
      </c>
      <c r="B267" s="256" t="str">
        <f>výpočty!$R$9</f>
        <v>Hátra</v>
      </c>
      <c r="C267" t="str">
        <f>výpočty!$R$4</f>
        <v>Classic - közézáródó vezetés bemarásra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Horizontális (balról jobbra)</v>
      </c>
      <c r="B268" s="256" t="str">
        <f>výpočty!$R$9</f>
        <v>Hátra</v>
      </c>
      <c r="C268" t="str">
        <f>výpočty!$R$4</f>
        <v>Classic - közézáródó vezetés bemarásra</v>
      </c>
      <c r="D268" s="350" t="str">
        <f>výpočty!$W$14</f>
        <v>Hófehér Matt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Horizontális (balról jobbra)</v>
      </c>
      <c r="B269" s="256" t="str">
        <f>výpočty!$R$9</f>
        <v>Hátra</v>
      </c>
      <c r="C269" t="str">
        <f>výpočty!$R$4</f>
        <v>Classic - közézáródó vezetés bemarásra</v>
      </c>
      <c r="D269" s="36" t="str">
        <f>výpočty!$W$15</f>
        <v>Alumínium-műanyag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Horizontális (balról jobbra)</v>
      </c>
      <c r="B270" s="256" t="str">
        <f>výpočty!$R$9</f>
        <v>Hátra</v>
      </c>
      <c r="C270" t="str">
        <f>výpočty!$R$4</f>
        <v>Classic - közézáródó vezetés bemarásra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Horizontális (balról jobbra)</v>
      </c>
      <c r="B271" s="256" t="str">
        <f>výpočty!$R$9</f>
        <v>Hátra</v>
      </c>
      <c r="C271" t="str">
        <f>výpočty!$R$4</f>
        <v>Classic - közézáródó vezetés bemarásra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Horizontális (balról jobbra)</v>
      </c>
      <c r="B272" s="256" t="str">
        <f>výpočty!$R$9</f>
        <v>Hátra</v>
      </c>
      <c r="C272" t="str">
        <f>výpočty!$R$4</f>
        <v>Classic - közézáródó vezetés bemarásra</v>
      </c>
      <c r="D272" s="36" t="str">
        <f>výpočty!$W$19</f>
        <v>ALU szélesség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Horizontális (balról jobbra)</v>
      </c>
      <c r="B273" s="256" t="str">
        <f>výpočty!$R$9</f>
        <v>Hátra</v>
      </c>
      <c r="C273" t="str">
        <f>výpočty!$R$4</f>
        <v>Classic - közézáródó vezetés bemarásra</v>
      </c>
      <c r="D273" s="27" t="str">
        <f>výpočty!$W$20</f>
        <v>Nemes acél szélesség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Horizontális (balról jobbra)</v>
      </c>
      <c r="B274" s="256" t="str">
        <f>výpočty!$R$9</f>
        <v>Hátra</v>
      </c>
      <c r="C274" t="str">
        <f>výpočty!$R$5</f>
        <v xml:space="preserve">Frame - ráütődő takaró léces vezetéssel </v>
      </c>
      <c r="D274" s="26" t="str">
        <f>výpočty!$W$3</f>
        <v>Fekete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Horizontális (balról jobbra)</v>
      </c>
      <c r="B275" s="256" t="str">
        <f>výpočty!$R$9</f>
        <v>Hátra</v>
      </c>
      <c r="C275" t="str">
        <f>výpočty!$R$5</f>
        <v xml:space="preserve">Frame - ráütődő takaró léces vezetéssel </v>
      </c>
      <c r="D275" s="36" t="str">
        <f>výpočty!$W$4</f>
        <v>Fehér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Horizontális (balról jobbra)</v>
      </c>
      <c r="B276" s="256" t="str">
        <f>výpočty!$R$9</f>
        <v>Hátra</v>
      </c>
      <c r="C276" t="str">
        <f>výpočty!$R$5</f>
        <v xml:space="preserve">Frame - ráütődő takaró léces vezetéssel </v>
      </c>
      <c r="D276" s="36" t="str">
        <f>výpočty!$W$5</f>
        <v>Szürke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Horizontális (balról jobbra)</v>
      </c>
      <c r="B277" s="256" t="str">
        <f>výpočty!$R$9</f>
        <v>Hátra</v>
      </c>
      <c r="C277" t="str">
        <f>výpočty!$R$5</f>
        <v xml:space="preserve">Frame - ráütődő takaró léces vezetéssel </v>
      </c>
      <c r="D277" s="36" t="str">
        <f>výpočty!$W$6</f>
        <v>Alumínium-műanyag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Horizontális (balról jobbra)</v>
      </c>
      <c r="B278" s="256" t="str">
        <f>výpočty!$R$9</f>
        <v>Hátra</v>
      </c>
      <c r="C278" t="str">
        <f>výpočty!$R$5</f>
        <v xml:space="preserve">Frame - ráütődő takaró léces vezetéssel </v>
      </c>
      <c r="D278" s="36" t="str">
        <f>výpočty!$W$7</f>
        <v>Bükk (E23)</v>
      </c>
      <c r="E278" t="s">
        <v>2131</v>
      </c>
      <c r="F278">
        <v>0</v>
      </c>
      <c r="G278" s="321" t="str">
        <f>Překlady!$A$145</f>
        <v>A Bükk színes elkészítése az E23 profilnál, nem kombinálható a FRAME vezetéssel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A Bükk színes elkészítése az E23 profilnál, nem kombinálható a FRAME vezetéssel</v>
      </c>
      <c r="N278">
        <f t="shared" si="14"/>
        <v>0</v>
      </c>
    </row>
    <row r="279" spans="1:14" x14ac:dyDescent="0.2">
      <c r="A279" s="255" t="str">
        <f>výpočty!$R$15</f>
        <v>Horizontális (balról jobbra)</v>
      </c>
      <c r="B279" s="256" t="str">
        <f>výpočty!$R$9</f>
        <v>Hátra</v>
      </c>
      <c r="C279" t="str">
        <f>výpočty!$R$5</f>
        <v xml:space="preserve">Frame - ráütődő takaró léces vezetéssel </v>
      </c>
      <c r="D279" s="36" t="str">
        <f>výpočty!$W$8</f>
        <v>Cseresznye (E23)</v>
      </c>
      <c r="E279" t="s">
        <v>2130</v>
      </c>
      <c r="F279">
        <v>1</v>
      </c>
      <c r="G279" t="str">
        <f>Překlady!$A$176</f>
        <v>A Cseresznye színes elkészítése az E23 profilnál, nem kombinálható a FRAME vezetéssel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A Cseresznye színes elkészítése az E23 profilnál, nem kombinálható a FRAME vezetéssel</v>
      </c>
      <c r="N279">
        <f t="shared" si="14"/>
        <v>1</v>
      </c>
    </row>
    <row r="280" spans="1:14" x14ac:dyDescent="0.2">
      <c r="A280" s="255" t="str">
        <f>výpočty!$R$15</f>
        <v>Horizontális (balról jobbra)</v>
      </c>
      <c r="B280" s="256" t="str">
        <f>výpočty!$R$9</f>
        <v>Hátra</v>
      </c>
      <c r="C280" t="str">
        <f>výpočty!$R$5</f>
        <v xml:space="preserve">Frame - ráütődő takaró léces vezetéssel </v>
      </c>
      <c r="D280" s="36" t="str">
        <f>výpočty!$W$9</f>
        <v>Jávor (E23)</v>
      </c>
      <c r="E280" t="s">
        <v>2130</v>
      </c>
      <c r="F280">
        <v>1</v>
      </c>
      <c r="G280" t="str">
        <f>Překlady!$A$177</f>
        <v>A Jávor színes elkészítése az E23 profilnál, nem kombinálható a FRAME vezetéssel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A Jávor színes elkészítése az E23 profilnál, nem kombinálható a FRAME vezetéssel</v>
      </c>
      <c r="N280">
        <f t="shared" si="14"/>
        <v>1</v>
      </c>
    </row>
    <row r="281" spans="1:14" x14ac:dyDescent="0.2">
      <c r="A281" s="255" t="str">
        <f>výpočty!$R$15</f>
        <v>Horizontális (balról jobbra)</v>
      </c>
      <c r="B281" s="256" t="str">
        <f>výpočty!$R$9</f>
        <v>Hátra</v>
      </c>
      <c r="C281" t="str">
        <f>výpočty!$R$5</f>
        <v xml:space="preserve">Frame - ráütődő takaró léces vezetéssel </v>
      </c>
      <c r="D281" s="36" t="str">
        <f>výpočty!$W$10</f>
        <v>Nyír (E23)</v>
      </c>
      <c r="E281" t="s">
        <v>2130</v>
      </c>
      <c r="F281">
        <v>1</v>
      </c>
      <c r="G281" t="str">
        <f>Překlady!$A$175</f>
        <v>A Nyír színes elkészítése az E23 profilnál, nem kombinálható a FRAME vezetéssel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A Nyír színes elkészítése az E23 profilnál, nem kombinálható a FRAME vezetéssel</v>
      </c>
      <c r="N281">
        <f t="shared" si="14"/>
        <v>1</v>
      </c>
    </row>
    <row r="282" spans="1:14" x14ac:dyDescent="0.2">
      <c r="A282" s="255" t="str">
        <f>výpočty!$R$15</f>
        <v>Horizontális (balról jobbra)</v>
      </c>
      <c r="B282" s="256" t="str">
        <f>výpočty!$R$9</f>
        <v>Hátra</v>
      </c>
      <c r="C282" t="str">
        <f>výpočty!$R$5</f>
        <v xml:space="preserve">Frame - ráütődő takaró léces vezetéssel </v>
      </c>
      <c r="D282" s="36" t="str">
        <f>výpočty!$W$11</f>
        <v>Cseresznye havana (E23)</v>
      </c>
      <c r="E282" t="s">
        <v>2130</v>
      </c>
      <c r="F282">
        <v>1</v>
      </c>
      <c r="G282" t="str">
        <f>Překlady!$A$170</f>
        <v>A Cseresznye havana színes elkészítése az E23 profilnál, nem kombinálható a FRAME vezetéssel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A Cseresznye havana színes elkészítése az E23 profilnál, nem kombinálható a FRAME vezetéssel</v>
      </c>
      <c r="N282">
        <f t="shared" si="14"/>
        <v>1</v>
      </c>
    </row>
    <row r="283" spans="1:14" x14ac:dyDescent="0.2">
      <c r="A283" s="255" t="str">
        <f>výpočty!$R$15</f>
        <v>Horizontális (balról jobbra)</v>
      </c>
      <c r="B283" s="256" t="str">
        <f>výpočty!$R$9</f>
        <v>Hátra</v>
      </c>
      <c r="C283" t="str">
        <f>výpočty!$R$5</f>
        <v xml:space="preserve">Frame - ráütődő takaró léces vezetéssel 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Horizontális (balról jobbra)</v>
      </c>
      <c r="B284" s="256" t="str">
        <f>výpočty!$R$9</f>
        <v>Hátra</v>
      </c>
      <c r="C284" t="str">
        <f>výpočty!$R$5</f>
        <v xml:space="preserve">Frame - ráütődő takaró léces vezetéssel </v>
      </c>
      <c r="D284" s="36" t="str">
        <f>výpočty!$W$14</f>
        <v>Hófehér Matt (E9)</v>
      </c>
      <c r="E284" s="321" t="s">
        <v>2131</v>
      </c>
      <c r="F284" s="321">
        <v>1</v>
      </c>
      <c r="G284" s="321" t="str">
        <f>Překlady!$A$142</f>
        <v>Az E9 profilnál a világos fehér kombinálható csak a Classic és a Top vezetésnél.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Az E9 profilnál a világos fehér kombinálható csak a Classic és a Top vezetésnél.</v>
      </c>
      <c r="N284">
        <f t="shared" si="14"/>
        <v>1</v>
      </c>
    </row>
    <row r="285" spans="1:14" x14ac:dyDescent="0.2">
      <c r="A285" s="255" t="str">
        <f>výpočty!$R$15</f>
        <v>Horizontális (balról jobbra)</v>
      </c>
      <c r="B285" s="256" t="str">
        <f>výpočty!$R$9</f>
        <v>Hátra</v>
      </c>
      <c r="C285" t="str">
        <f>výpočty!$R$5</f>
        <v xml:space="preserve">Frame - ráütődő takaró léces vezetéssel </v>
      </c>
      <c r="D285" s="36" t="str">
        <f>výpočty!$W$15</f>
        <v>Alumínium-műanyag (E4)</v>
      </c>
      <c r="E285" t="s">
        <v>2131</v>
      </c>
      <c r="F285">
        <v>1</v>
      </c>
      <c r="G285" s="321" t="str">
        <f>Překlady!$A$143</f>
        <v xml:space="preserve"> E4 profil az alumínium műanyag színes elkészítése, alkalmas a vízszintes vezetésre,kombinálva a Classic vezetéssel,hátra tekercseléssel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 xml:space="preserve"> E4 profil az alumínium műanyag színes elkészítése, alkalmas a vízszintes vezetésre,kombinálva a Classic vezetéssel,hátra tekercseléssel</v>
      </c>
      <c r="N285">
        <f t="shared" si="14"/>
        <v>1</v>
      </c>
    </row>
    <row r="286" spans="1:14" x14ac:dyDescent="0.2">
      <c r="A286" s="255" t="str">
        <f>výpočty!$R$15</f>
        <v>Horizontális (balról jobbra)</v>
      </c>
      <c r="B286" s="256" t="str">
        <f>výpočty!$R$9</f>
        <v>Hátra</v>
      </c>
      <c r="C286" t="str">
        <f>výpočty!$R$5</f>
        <v xml:space="preserve">Frame - ráütődő takaró léces vezetéssel 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Horizontális (balról jobbra)</v>
      </c>
      <c r="B287" s="256" t="str">
        <f>výpočty!$R$9</f>
        <v>Hátra</v>
      </c>
      <c r="C287" t="str">
        <f>výpočty!$R$5</f>
        <v xml:space="preserve">Frame - ráütődő takaró léces vezetéssel 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Horizontális (balról jobbra)</v>
      </c>
      <c r="B288" s="256" t="str">
        <f>výpočty!$R$9</f>
        <v>Hátra</v>
      </c>
      <c r="C288" t="str">
        <f>výpočty!$R$5</f>
        <v xml:space="preserve">Frame - ráütődő takaró léces vezetéssel </v>
      </c>
      <c r="D288" s="36" t="str">
        <f>výpočty!$W$19</f>
        <v>ALU szélesség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Horizontális (balról jobbra)</v>
      </c>
      <c r="B289" s="256" t="str">
        <f>výpočty!$R$9</f>
        <v>Hátra</v>
      </c>
      <c r="C289" t="str">
        <f>výpočty!$R$5</f>
        <v xml:space="preserve">Frame - ráütődő takaró léces vezetéssel </v>
      </c>
      <c r="D289" s="27" t="str">
        <f>výpočty!$W$20</f>
        <v>Nemes acél szélesség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Horizontális (balról jobbra)</v>
      </c>
      <c r="B290" s="256" t="str">
        <f>výpočty!$R$9</f>
        <v>Hátra</v>
      </c>
      <c r="C290" t="str">
        <f>výpočty!$R$6</f>
        <v>TOP - közzézáródó vezetés csavarozásra fém takaró léccel</v>
      </c>
      <c r="D290" s="26" t="str">
        <f>výpočty!$W$3</f>
        <v>Fekete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Horizontális (balról jobbra)</v>
      </c>
      <c r="B291" s="256" t="str">
        <f>výpočty!$R$9</f>
        <v>Hátra</v>
      </c>
      <c r="C291" t="str">
        <f>výpočty!$R$6</f>
        <v>TOP - közzézáródó vezetés csavarozásra fém takaró léccel</v>
      </c>
      <c r="D291" s="36" t="str">
        <f>výpočty!$W$4</f>
        <v>Fehér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Horizontális (balról jobbra)</v>
      </c>
      <c r="B292" s="256" t="str">
        <f>výpočty!$R$9</f>
        <v>Hátra</v>
      </c>
      <c r="C292" t="str">
        <f>výpočty!$R$6</f>
        <v>TOP - közzézáródó vezetés csavarozásra fém takaró léccel</v>
      </c>
      <c r="D292" s="36" t="str">
        <f>výpočty!$W$5</f>
        <v>Szürke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Horizontális (balról jobbra)</v>
      </c>
      <c r="B293" s="256" t="str">
        <f>výpočty!$R$9</f>
        <v>Hátra</v>
      </c>
      <c r="C293" t="str">
        <f>výpočty!$R$6</f>
        <v>TOP - közzézáródó vezetés csavarozásra fém takaró léccel</v>
      </c>
      <c r="D293" s="36" t="str">
        <f>výpočty!$W$6</f>
        <v>Alumínium-műanyag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Horizontális (balról jobbra)</v>
      </c>
      <c r="B294" s="256" t="str">
        <f>výpočty!$R$9</f>
        <v>Hátra</v>
      </c>
      <c r="C294" t="str">
        <f>výpočty!$R$6</f>
        <v>TOP - közzézáródó vezetés csavarozásra fém takaró léccel</v>
      </c>
      <c r="D294" s="36" t="str">
        <f>výpočty!$W$7</f>
        <v>Bükk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Horizontális (balról jobbra)</v>
      </c>
      <c r="B295" s="256" t="str">
        <f>výpočty!$R$9</f>
        <v>Hátra</v>
      </c>
      <c r="C295" t="str">
        <f>výpočty!$R$6</f>
        <v>TOP - közzézáródó vezetés csavarozásra fém takaró léccel</v>
      </c>
      <c r="D295" s="36" t="str">
        <f>výpočty!$W$8</f>
        <v>Cseresznye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Horizontális (balról jobbra)</v>
      </c>
      <c r="B296" s="256" t="str">
        <f>výpočty!$R$9</f>
        <v>Hátra</v>
      </c>
      <c r="C296" t="str">
        <f>výpočty!$R$6</f>
        <v>TOP - közzézáródó vezetés csavarozásra fém takaró léccel</v>
      </c>
      <c r="D296" s="36" t="str">
        <f>výpočty!$W$9</f>
        <v>Jávor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Horizontális (balról jobbra)</v>
      </c>
      <c r="B297" s="256" t="str">
        <f>výpočty!$R$9</f>
        <v>Hátra</v>
      </c>
      <c r="C297" t="str">
        <f>výpočty!$R$6</f>
        <v>TOP - közzézáródó vezetés csavarozásra fém takaró léccel</v>
      </c>
      <c r="D297" s="36" t="str">
        <f>výpočty!$W$10</f>
        <v>Nyír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Horizontális (balról jobbra)</v>
      </c>
      <c r="B298" s="256" t="str">
        <f>výpočty!$R$9</f>
        <v>Hátra</v>
      </c>
      <c r="C298" t="str">
        <f>výpočty!$R$6</f>
        <v>TOP - közzézáródó vezetés csavarozásra fém takaró léccel</v>
      </c>
      <c r="D298" s="36" t="str">
        <f>výpočty!$W$11</f>
        <v>Cseresznye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Horizontális (balról jobbra)</v>
      </c>
      <c r="B299" s="256" t="str">
        <f>výpočty!$R$9</f>
        <v>Hátra</v>
      </c>
      <c r="C299" t="str">
        <f>výpočty!$R$6</f>
        <v>TOP - közzézáródó vezetés csavarozásra fém takaró léccel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Horizontális (balról jobbra)</v>
      </c>
      <c r="B300" s="256" t="str">
        <f>výpočty!$R$9</f>
        <v>Hátra</v>
      </c>
      <c r="C300" t="str">
        <f>výpočty!$R$6</f>
        <v>TOP - közzézáródó vezetés csavarozásra fém takaró léccel</v>
      </c>
      <c r="D300" s="350" t="str">
        <f>výpočty!$W$14</f>
        <v>Hófehér Matt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Horizontális (balról jobbra)</v>
      </c>
      <c r="B301" s="256" t="str">
        <f>výpočty!$R$9</f>
        <v>Hátra</v>
      </c>
      <c r="C301" t="str">
        <f>výpočty!$R$6</f>
        <v>TOP - közzézáródó vezetés csavarozásra fém takaró léccel</v>
      </c>
      <c r="D301" s="36" t="str">
        <f>výpočty!$W$15</f>
        <v>Alumínium-műanyag (E4)</v>
      </c>
      <c r="E301" t="s">
        <v>2131</v>
      </c>
      <c r="F301">
        <v>1</v>
      </c>
      <c r="G301" s="321" t="str">
        <f>Překlady!$A$143</f>
        <v xml:space="preserve"> E4 profil az alumínium műanyag színes elkészítése, alkalmas a vízszintes vezetésre,kombinálva a Classic vezetéssel,hátra tekercseléssel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 xml:space="preserve"> E4 profil az alumínium műanyag színes elkészítése, alkalmas a vízszintes vezetésre,kombinálva a Classic vezetéssel,hátra tekercseléssel</v>
      </c>
      <c r="N301">
        <f t="shared" si="14"/>
        <v>1</v>
      </c>
    </row>
    <row r="302" spans="1:14" x14ac:dyDescent="0.2">
      <c r="A302" s="255" t="str">
        <f>výpočty!$R$15</f>
        <v>Horizontális (balról jobbra)</v>
      </c>
      <c r="B302" s="256" t="str">
        <f>výpočty!$R$9</f>
        <v>Hátra</v>
      </c>
      <c r="C302" t="str">
        <f>výpočty!$R$6</f>
        <v>TOP - közzézáródó vezetés csavarozásra fém takaró léccel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Horizontális (balról jobbra)</v>
      </c>
      <c r="B303" s="256" t="str">
        <f>výpočty!$R$9</f>
        <v>Hátra</v>
      </c>
      <c r="C303" t="str">
        <f>výpočty!$R$6</f>
        <v>TOP - közzézáródó vezetés csavarozásra fém takaró léccel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Horizontális (balról jobbra)</v>
      </c>
      <c r="B304" s="256" t="str">
        <f>výpočty!$R$9</f>
        <v>Hátra</v>
      </c>
      <c r="C304" t="str">
        <f>výpočty!$R$6</f>
        <v>TOP - közzézáródó vezetés csavarozásra fém takaró léccel</v>
      </c>
      <c r="D304" s="36" t="str">
        <f>výpočty!$W$19</f>
        <v>ALU szélesség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Horizontális (balról jobbra)</v>
      </c>
      <c r="B305" s="256" t="str">
        <f>výpočty!$R$9</f>
        <v>Hátra</v>
      </c>
      <c r="C305" t="str">
        <f>výpočty!$R$6</f>
        <v>TOP - közzézáródó vezetés csavarozásra fém takaró léccel</v>
      </c>
      <c r="D305" s="27" t="str">
        <f>výpočty!$W$20</f>
        <v>Nemes acél szélesség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Horizontális (balról jobbra)</v>
      </c>
      <c r="B306" s="256" t="str">
        <f>výpočty!$R$9</f>
        <v>Hátra</v>
      </c>
      <c r="C306" t="str">
        <f>výpočty!$R$7</f>
        <v>Ráütődő metallic-line vezetéssel 29mm és C3 mech.</v>
      </c>
      <c r="D306" s="26" t="str">
        <f>výpočty!$W$3</f>
        <v>Fekete (E23)</v>
      </c>
      <c r="E306" t="s">
        <v>2131</v>
      </c>
      <c r="F306">
        <v>1</v>
      </c>
      <c r="G306" s="321" t="str">
        <f>Překlady!$A$153</f>
        <v>A vezetésnél, hátra és a csigába ,nem lehet használni ráütődő rendszert 29mm és a C3 mech.Szükséges választani FRAME verziót.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A vezetésnél, hátra és a csigába ,nem lehet használni ráütődő rendszert 29mm és a C3 mech.Szükséges választani FRAME verziót.</v>
      </c>
      <c r="N306">
        <f t="shared" si="14"/>
        <v>1</v>
      </c>
    </row>
    <row r="307" spans="1:14" x14ac:dyDescent="0.2">
      <c r="A307" s="255" t="str">
        <f>výpočty!$R$15</f>
        <v>Horizontális (balról jobbra)</v>
      </c>
      <c r="B307" s="256" t="str">
        <f>výpočty!$R$9</f>
        <v>Hátra</v>
      </c>
      <c r="C307" t="str">
        <f>výpočty!$R$7</f>
        <v>Ráütődő metallic-line vezetéssel 29mm és C3 mech.</v>
      </c>
      <c r="D307" s="36" t="str">
        <f>výpočty!$W$4</f>
        <v>Fehér (E23)</v>
      </c>
      <c r="E307" t="s">
        <v>2131</v>
      </c>
      <c r="F307">
        <v>1</v>
      </c>
      <c r="G307" s="321" t="str">
        <f>Překlady!$A$153</f>
        <v>A vezetésnél, hátra és a csigába ,nem lehet használni ráütődő rendszert 29mm és a C3 mech.Szükséges választani FRAME verziót.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A vezetésnél, hátra és a csigába ,nem lehet használni ráütődő rendszert 29mm és a C3 mech.Szükséges választani FRAME verziót.</v>
      </c>
      <c r="N307">
        <f t="shared" si="14"/>
        <v>1</v>
      </c>
    </row>
    <row r="308" spans="1:14" x14ac:dyDescent="0.2">
      <c r="A308" s="255" t="str">
        <f>výpočty!$R$15</f>
        <v>Horizontális (balról jobbra)</v>
      </c>
      <c r="B308" s="256" t="str">
        <f>výpočty!$R$9</f>
        <v>Hátra</v>
      </c>
      <c r="C308" t="str">
        <f>výpočty!$R$7</f>
        <v>Ráütődő metallic-line vezetéssel 29mm és C3 mech.</v>
      </c>
      <c r="D308" s="36" t="str">
        <f>výpočty!$W$5</f>
        <v>Szürke (E23)</v>
      </c>
      <c r="E308" t="s">
        <v>2131</v>
      </c>
      <c r="F308">
        <v>1</v>
      </c>
      <c r="G308" s="321" t="str">
        <f>Překlady!$A$153</f>
        <v>A vezetésnél, hátra és a csigába ,nem lehet használni ráütődő rendszert 29mm és a C3 mech.Szükséges választani FRAME verziót.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A vezetésnél, hátra és a csigába ,nem lehet használni ráütődő rendszert 29mm és a C3 mech.Szükséges választani FRAME verziót.</v>
      </c>
      <c r="N308">
        <f t="shared" si="14"/>
        <v>1</v>
      </c>
    </row>
    <row r="309" spans="1:14" x14ac:dyDescent="0.2">
      <c r="A309" s="255" t="str">
        <f>výpočty!$R$15</f>
        <v>Horizontális (balról jobbra)</v>
      </c>
      <c r="B309" s="256" t="str">
        <f>výpočty!$R$9</f>
        <v>Hátra</v>
      </c>
      <c r="C309" t="str">
        <f>výpočty!$R$7</f>
        <v>Ráütődő metallic-line vezetéssel 29mm és C3 mech.</v>
      </c>
      <c r="D309" s="36" t="str">
        <f>výpočty!$W$6</f>
        <v>Alumínium-műanyag (E23)</v>
      </c>
      <c r="E309" t="s">
        <v>2131</v>
      </c>
      <c r="F309">
        <v>1</v>
      </c>
      <c r="G309" s="321" t="str">
        <f>Překlady!$A$153</f>
        <v>A vezetésnél, hátra és a csigába ,nem lehet használni ráütődő rendszert 29mm és a C3 mech.Szükséges választani FRAME verziót.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A vezetésnél, hátra és a csigába ,nem lehet használni ráütődő rendszert 29mm és a C3 mech.Szükséges választani FRAME verziót.</v>
      </c>
      <c r="N309">
        <f t="shared" si="14"/>
        <v>1</v>
      </c>
    </row>
    <row r="310" spans="1:14" x14ac:dyDescent="0.2">
      <c r="A310" s="255" t="str">
        <f>výpočty!$R$15</f>
        <v>Horizontális (balról jobbra)</v>
      </c>
      <c r="B310" s="256" t="str">
        <f>výpočty!$R$9</f>
        <v>Hátra</v>
      </c>
      <c r="C310" t="str">
        <f>výpočty!$R$7</f>
        <v>Ráütődő metallic-line vezetéssel 29mm és C3 mech.</v>
      </c>
      <c r="D310" s="36" t="str">
        <f>výpočty!$W$7</f>
        <v>Bükk (E23)</v>
      </c>
      <c r="E310" t="s">
        <v>2131</v>
      </c>
      <c r="F310">
        <v>1</v>
      </c>
      <c r="G310" s="321" t="str">
        <f>Překlady!$A$153</f>
        <v>A vezetésnél, hátra és a csigába ,nem lehet használni ráütődő rendszert 29mm és a C3 mech.Szükséges választani FRAME verziót.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A vezetésnél, hátra és a csigába ,nem lehet használni ráütődő rendszert 29mm és a C3 mech.Szükséges választani FRAME verziót.</v>
      </c>
      <c r="N310">
        <f t="shared" si="14"/>
        <v>1</v>
      </c>
    </row>
    <row r="311" spans="1:14" x14ac:dyDescent="0.2">
      <c r="A311" s="255" t="str">
        <f>výpočty!$R$15</f>
        <v>Horizontális (balról jobbra)</v>
      </c>
      <c r="B311" s="256" t="str">
        <f>výpočty!$R$9</f>
        <v>Hátra</v>
      </c>
      <c r="C311" t="str">
        <f>výpočty!$R$7</f>
        <v>Ráütődő metallic-line vezetéssel 29mm és C3 mech.</v>
      </c>
      <c r="D311" s="36" t="str">
        <f>výpočty!$W$8</f>
        <v>Cseresznye (E23)</v>
      </c>
      <c r="E311" t="s">
        <v>2131</v>
      </c>
      <c r="F311">
        <v>1</v>
      </c>
      <c r="G311" s="321" t="str">
        <f>Překlady!$A$153</f>
        <v>A vezetésnél, hátra és a csigába ,nem lehet használni ráütődő rendszert 29mm és a C3 mech.Szükséges választani FRAME verziót.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A vezetésnél, hátra és a csigába ,nem lehet használni ráütődő rendszert 29mm és a C3 mech.Szükséges választani FRAME verziót.</v>
      </c>
      <c r="N311">
        <f t="shared" si="14"/>
        <v>1</v>
      </c>
    </row>
    <row r="312" spans="1:14" x14ac:dyDescent="0.2">
      <c r="A312" s="255" t="str">
        <f>výpočty!$R$15</f>
        <v>Horizontális (balról jobbra)</v>
      </c>
      <c r="B312" s="256" t="str">
        <f>výpočty!$R$9</f>
        <v>Hátra</v>
      </c>
      <c r="C312" t="str">
        <f>výpočty!$R$7</f>
        <v>Ráütődő metallic-line vezetéssel 29mm és C3 mech.</v>
      </c>
      <c r="D312" s="36" t="str">
        <f>výpočty!$W$9</f>
        <v>Jávor (E23)</v>
      </c>
      <c r="E312" t="s">
        <v>2131</v>
      </c>
      <c r="F312">
        <v>1</v>
      </c>
      <c r="G312" s="321" t="str">
        <f>Překlady!$A$153</f>
        <v>A vezetésnél, hátra és a csigába ,nem lehet használni ráütődő rendszert 29mm és a C3 mech.Szükséges választani FRAME verziót.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A vezetésnél, hátra és a csigába ,nem lehet használni ráütődő rendszert 29mm és a C3 mech.Szükséges választani FRAME verziót.</v>
      </c>
      <c r="N312">
        <f t="shared" si="14"/>
        <v>1</v>
      </c>
    </row>
    <row r="313" spans="1:14" x14ac:dyDescent="0.2">
      <c r="A313" s="255" t="str">
        <f>výpočty!$R$15</f>
        <v>Horizontális (balról jobbra)</v>
      </c>
      <c r="B313" s="256" t="str">
        <f>výpočty!$R$9</f>
        <v>Hátra</v>
      </c>
      <c r="C313" t="str">
        <f>výpočty!$R$7</f>
        <v>Ráütődő metallic-line vezetéssel 29mm és C3 mech.</v>
      </c>
      <c r="D313" s="36" t="str">
        <f>výpočty!$W$10</f>
        <v>Nyír (E23)</v>
      </c>
      <c r="E313" t="s">
        <v>2131</v>
      </c>
      <c r="F313">
        <v>1</v>
      </c>
      <c r="G313" s="321" t="str">
        <f>Překlady!$A$153</f>
        <v>A vezetésnél, hátra és a csigába ,nem lehet használni ráütődő rendszert 29mm és a C3 mech.Szükséges választani FRAME verziót.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A vezetésnél, hátra és a csigába ,nem lehet használni ráütődő rendszert 29mm és a C3 mech.Szükséges választani FRAME verziót.</v>
      </c>
      <c r="N313">
        <f t="shared" si="14"/>
        <v>1</v>
      </c>
    </row>
    <row r="314" spans="1:14" x14ac:dyDescent="0.2">
      <c r="A314" s="255" t="str">
        <f>výpočty!$R$15</f>
        <v>Horizontális (balról jobbra)</v>
      </c>
      <c r="B314" s="256" t="str">
        <f>výpočty!$R$9</f>
        <v>Hátra</v>
      </c>
      <c r="C314" t="str">
        <f>výpočty!$R$7</f>
        <v>Ráütődő metallic-line vezetéssel 29mm és C3 mech.</v>
      </c>
      <c r="D314" s="36" t="str">
        <f>výpočty!$W$11</f>
        <v>Cseresznye havana (E23)</v>
      </c>
      <c r="E314" t="s">
        <v>2131</v>
      </c>
      <c r="F314">
        <v>1</v>
      </c>
      <c r="G314" s="321" t="str">
        <f>Překlady!$A$153</f>
        <v>A vezetésnél, hátra és a csigába ,nem lehet használni ráütődő rendszert 29mm és a C3 mech.Szükséges választani FRAME verziót.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A vezetésnél, hátra és a csigába ,nem lehet használni ráütődő rendszert 29mm és a C3 mech.Szükséges választani FRAME verziót.</v>
      </c>
      <c r="N314">
        <f t="shared" si="14"/>
        <v>1</v>
      </c>
    </row>
    <row r="315" spans="1:14" x14ac:dyDescent="0.2">
      <c r="A315" s="255" t="str">
        <f>výpočty!$R$15</f>
        <v>Horizontális (balról jobbra)</v>
      </c>
      <c r="B315" s="256" t="str">
        <f>výpočty!$R$9</f>
        <v>Hátra</v>
      </c>
      <c r="C315" t="str">
        <f>výpočty!$R$7</f>
        <v>Ráütődő metallic-line vezetéssel 29mm és C3 mech.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A vezetésnél, hátra és a csigába ,nem lehet használni ráütődő rendszert 29mm és a C3 mech.Szükséges választani FRAME verziót.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A vezetésnél, hátra és a csigába ,nem lehet használni ráütődő rendszert 29mm és a C3 mech.Szükséges választani FRAME verziót.</v>
      </c>
      <c r="N315">
        <f t="shared" si="14"/>
        <v>1</v>
      </c>
    </row>
    <row r="316" spans="1:14" x14ac:dyDescent="0.2">
      <c r="A316" s="255" t="str">
        <f>výpočty!$R$15</f>
        <v>Horizontális (balról jobbra)</v>
      </c>
      <c r="B316" s="256" t="str">
        <f>výpočty!$R$9</f>
        <v>Hátra</v>
      </c>
      <c r="C316" t="str">
        <f>výpočty!$R$7</f>
        <v>Ráütődő metallic-line vezetéssel 29mm és C3 mech.</v>
      </c>
      <c r="D316" s="36" t="str">
        <f>výpočty!$W$14</f>
        <v>Hófehér Matt (E9)</v>
      </c>
      <c r="E316" t="s">
        <v>2131</v>
      </c>
      <c r="F316">
        <v>1</v>
      </c>
      <c r="G316" s="321" t="str">
        <f>Překlady!$A$142</f>
        <v>Az E9 profilnál a világos fehér kombinálható csak a Classic és a Top vezetésnél.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Az E9 profilnál a világos fehér kombinálható csak a Classic és a Top vezetésnél.</v>
      </c>
      <c r="N316">
        <f t="shared" si="14"/>
        <v>1</v>
      </c>
    </row>
    <row r="317" spans="1:14" x14ac:dyDescent="0.2">
      <c r="A317" s="255" t="str">
        <f>výpočty!$R$15</f>
        <v>Horizontális (balról jobbra)</v>
      </c>
      <c r="B317" s="256" t="str">
        <f>výpočty!$R$9</f>
        <v>Hátra</v>
      </c>
      <c r="C317" t="str">
        <f>výpočty!$R$7</f>
        <v>Ráütődő metallic-line vezetéssel 29mm és C3 mech.</v>
      </c>
      <c r="D317" s="36" t="str">
        <f>výpočty!$W$15</f>
        <v>Alumínium-műanyag (E4)</v>
      </c>
      <c r="E317" t="s">
        <v>2131</v>
      </c>
      <c r="F317">
        <v>1</v>
      </c>
      <c r="G317" s="321" t="str">
        <f>Překlady!$A$143</f>
        <v xml:space="preserve"> E4 profil az alumínium műanyag színes elkészítése, alkalmas a vízszintes vezetésre,kombinálva a Classic vezetéssel,hátra tekercseléssel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 xml:space="preserve"> E4 profil az alumínium műanyag színes elkészítése, alkalmas a vízszintes vezetésre,kombinálva a Classic vezetéssel,hátra tekercseléssel</v>
      </c>
      <c r="N317">
        <f t="shared" si="14"/>
        <v>1</v>
      </c>
    </row>
    <row r="318" spans="1:14" x14ac:dyDescent="0.2">
      <c r="A318" s="255" t="str">
        <f>výpočty!$R$15</f>
        <v>Horizontális (balról jobbra)</v>
      </c>
      <c r="B318" s="256" t="str">
        <f>výpočty!$R$9</f>
        <v>Hátra</v>
      </c>
      <c r="C318" t="str">
        <f>výpočty!$R$7</f>
        <v>Ráütődő metallic-line vezetéssel 29mm és C3 mech.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A vezetésnél, hátra és a csigába ,nem lehet használni ráütődő rendszert 29mm és a C3 mech.Szükséges választani FRAME verziót.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A vezetésnél, hátra és a csigába ,nem lehet használni ráütődő rendszert 29mm és a C3 mech.Szükséges választani FRAME verziót.</v>
      </c>
      <c r="N318">
        <f t="shared" si="14"/>
        <v>1</v>
      </c>
    </row>
    <row r="319" spans="1:14" x14ac:dyDescent="0.2">
      <c r="A319" s="255" t="str">
        <f>výpočty!$R$15</f>
        <v>Horizontális (balról jobbra)</v>
      </c>
      <c r="B319" s="256" t="str">
        <f>výpočty!$R$9</f>
        <v>Hátra</v>
      </c>
      <c r="C319" t="str">
        <f>výpočty!$R$7</f>
        <v>Ráütődő metallic-line vezetéssel 29mm és C3 mech.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A vezetésnél, hátra és a csigába ,nem lehet használni ráütődő rendszert 29mm és a C3 mech.Szükséges választani FRAME verziót.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A vezetésnél, hátra és a csigába ,nem lehet használni ráütődő rendszert 29mm és a C3 mech.Szükséges választani FRAME verziót.</v>
      </c>
      <c r="N319">
        <f t="shared" si="14"/>
        <v>1</v>
      </c>
    </row>
    <row r="320" spans="1:14" x14ac:dyDescent="0.2">
      <c r="A320" s="255" t="str">
        <f>výpočty!$R$15</f>
        <v>Horizontális (balról jobbra)</v>
      </c>
      <c r="B320" s="256" t="str">
        <f>výpočty!$R$9</f>
        <v>Hátra</v>
      </c>
      <c r="C320" t="str">
        <f>výpočty!$R$7</f>
        <v>Ráütődő metallic-line vezetéssel 29mm és C3 mech.</v>
      </c>
      <c r="D320" s="36" t="str">
        <f>výpočty!$W$19</f>
        <v>ALU szélesség 25 mm (metallic-line)</v>
      </c>
      <c r="E320" t="s">
        <v>2131</v>
      </c>
      <c r="F320">
        <v>1</v>
      </c>
      <c r="G320" s="321" t="str">
        <f>Překlady!$A$153</f>
        <v>A vezetésnél, hátra és a csigába ,nem lehet használni ráütődő rendszert 29mm és a C3 mech.Szükséges választani FRAME verziót.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A vezetésnél, hátra és a csigába ,nem lehet használni ráütődő rendszert 29mm és a C3 mech.Szükséges választani FRAME verziót.</v>
      </c>
      <c r="N320">
        <f t="shared" si="14"/>
        <v>1</v>
      </c>
    </row>
    <row r="321" spans="1:14" ht="13.5" thickBot="1" x14ac:dyDescent="0.25">
      <c r="A321" s="255" t="str">
        <f>výpočty!$R$15</f>
        <v>Horizontális (balról jobbra)</v>
      </c>
      <c r="B321" s="256" t="str">
        <f>výpočty!$R$9</f>
        <v>Hátra</v>
      </c>
      <c r="C321" t="str">
        <f>výpočty!$R$7</f>
        <v>Ráütődő metallic-line vezetéssel 29mm és C3 mech.</v>
      </c>
      <c r="D321" s="27" t="str">
        <f>výpočty!$W$20</f>
        <v>Nemes acél szélesség 25 mm (metallic-line)</v>
      </c>
      <c r="E321" t="s">
        <v>2131</v>
      </c>
      <c r="F321">
        <v>1</v>
      </c>
      <c r="G321" s="321" t="str">
        <f>Překlady!$A$153</f>
        <v>A vezetésnél, hátra és a csigába ,nem lehet használni ráütődő rendszert 29mm és a C3 mech.Szükséges választani FRAME verziót.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A vezetésnél, hátra és a csigába ,nem lehet használni ráütődő rendszert 29mm és a C3 mech.Szükséges választani FRAME verziót.</v>
      </c>
      <c r="N321">
        <f t="shared" si="14"/>
        <v>1</v>
      </c>
    </row>
    <row r="322" spans="1:14" x14ac:dyDescent="0.2">
      <c r="A322" s="255" t="str">
        <f>výpočty!$R$15</f>
        <v>Horizontális (balról jobbra)</v>
      </c>
      <c r="B322" s="256" t="str">
        <f>výpočty!$R$10</f>
        <v>Csigába</v>
      </c>
      <c r="C322" t="str">
        <f>výpočty!$R$3</f>
        <v>TOP basic-közézáródó vezetés csavarozásra műanyag</v>
      </c>
      <c r="D322" s="26" t="str">
        <f>výpočty!$W$3</f>
        <v>Fekete (E23)</v>
      </c>
      <c r="E322" t="s">
        <v>2131</v>
      </c>
      <c r="F322">
        <v>1</v>
      </c>
      <c r="G322" t="str">
        <f>Překlady!$A$147</f>
        <v xml:space="preserve"> TOP BASIC vezetésü rendszer nem kombinálható a csiga vezetéssel.Javasoljuk a TOP vezetésű verzió kiválasztását.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 xml:space="preserve"> TOP BASIC vezetésü rendszer nem kombinálható a csiga vezetéssel.Javasoljuk a TOP vezetésű verzió kiválasztását.</v>
      </c>
      <c r="N322">
        <f t="shared" si="14"/>
        <v>1</v>
      </c>
    </row>
    <row r="323" spans="1:14" x14ac:dyDescent="0.2">
      <c r="A323" s="255" t="str">
        <f>výpočty!$R$15</f>
        <v>Horizontális (balról jobbra)</v>
      </c>
      <c r="B323" s="256" t="str">
        <f>výpočty!$R$10</f>
        <v>Csigába</v>
      </c>
      <c r="C323" t="str">
        <f>výpočty!$R$3</f>
        <v>TOP basic-közézáródó vezetés csavarozásra műanyag</v>
      </c>
      <c r="D323" s="36" t="str">
        <f>výpočty!$W$4</f>
        <v>Fehér (E23)</v>
      </c>
      <c r="E323" t="s">
        <v>2131</v>
      </c>
      <c r="F323">
        <v>1</v>
      </c>
      <c r="G323" t="str">
        <f>Překlady!$A$147</f>
        <v xml:space="preserve"> TOP BASIC vezetésü rendszer nem kombinálható a csiga vezetéssel.Javasoljuk a TOP vezetésű verzió kiválasztását.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 xml:space="preserve"> TOP BASIC vezetésü rendszer nem kombinálható a csiga vezetéssel.Javasoljuk a TOP vezetésű verzió kiválasztását.</v>
      </c>
      <c r="N323">
        <f t="shared" ref="N323:N386" si="17">F:F</f>
        <v>1</v>
      </c>
    </row>
    <row r="324" spans="1:14" x14ac:dyDescent="0.2">
      <c r="A324" s="255" t="str">
        <f>výpočty!$R$15</f>
        <v>Horizontális (balról jobbra)</v>
      </c>
      <c r="B324" s="256" t="str">
        <f>výpočty!$R$10</f>
        <v>Csigába</v>
      </c>
      <c r="C324" t="str">
        <f>výpočty!$R$3</f>
        <v>TOP basic-közézáródó vezetés csavarozásra műanyag</v>
      </c>
      <c r="D324" s="36" t="str">
        <f>výpočty!$W$5</f>
        <v>Szürke (E23)</v>
      </c>
      <c r="E324" t="s">
        <v>2131</v>
      </c>
      <c r="F324">
        <v>1</v>
      </c>
      <c r="G324" t="str">
        <f>Překlady!$A$147</f>
        <v xml:space="preserve"> TOP BASIC vezetésü rendszer nem kombinálható a csiga vezetéssel.Javasoljuk a TOP vezetésű verzió kiválasztását.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 xml:space="preserve"> TOP BASIC vezetésü rendszer nem kombinálható a csiga vezetéssel.Javasoljuk a TOP vezetésű verzió kiválasztását.</v>
      </c>
      <c r="N324">
        <f t="shared" si="17"/>
        <v>1</v>
      </c>
    </row>
    <row r="325" spans="1:14" x14ac:dyDescent="0.2">
      <c r="A325" s="255" t="str">
        <f>výpočty!$R$15</f>
        <v>Horizontális (balról jobbra)</v>
      </c>
      <c r="B325" s="256" t="str">
        <f>výpočty!$R$10</f>
        <v>Csigába</v>
      </c>
      <c r="C325" t="str">
        <f>výpočty!$R$3</f>
        <v>TOP basic-közézáródó vezetés csavarozásra műanyag</v>
      </c>
      <c r="D325" s="36" t="str">
        <f>výpočty!$W$6</f>
        <v>Alumínium-műanyag (E23)</v>
      </c>
      <c r="E325" t="s">
        <v>2131</v>
      </c>
      <c r="F325">
        <v>1</v>
      </c>
      <c r="G325" t="str">
        <f>Překlady!$A$147</f>
        <v xml:space="preserve"> TOP BASIC vezetésü rendszer nem kombinálható a csiga vezetéssel.Javasoljuk a TOP vezetésű verzió kiválasztását.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 xml:space="preserve"> TOP BASIC vezetésü rendszer nem kombinálható a csiga vezetéssel.Javasoljuk a TOP vezetésű verzió kiválasztását.</v>
      </c>
      <c r="N325">
        <f t="shared" si="17"/>
        <v>1</v>
      </c>
    </row>
    <row r="326" spans="1:14" x14ac:dyDescent="0.2">
      <c r="A326" s="255" t="str">
        <f>výpočty!$R$15</f>
        <v>Horizontális (balról jobbra)</v>
      </c>
      <c r="B326" s="256" t="str">
        <f>výpočty!$R$10</f>
        <v>Csigába</v>
      </c>
      <c r="C326" t="str">
        <f>výpočty!$R$3</f>
        <v>TOP basic-közézáródó vezetés csavarozásra műanyag</v>
      </c>
      <c r="D326" s="36" t="str">
        <f>výpočty!$W$7</f>
        <v>Bükk (E23)</v>
      </c>
      <c r="E326" t="s">
        <v>2131</v>
      </c>
      <c r="F326">
        <v>1</v>
      </c>
      <c r="G326" t="str">
        <f>Překlady!$A$147</f>
        <v xml:space="preserve"> TOP BASIC vezetésü rendszer nem kombinálható a csiga vezetéssel.Javasoljuk a TOP vezetésű verzió kiválasztását.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 xml:space="preserve"> TOP BASIC vezetésü rendszer nem kombinálható a csiga vezetéssel.Javasoljuk a TOP vezetésű verzió kiválasztását.</v>
      </c>
      <c r="N326">
        <f t="shared" si="17"/>
        <v>1</v>
      </c>
    </row>
    <row r="327" spans="1:14" x14ac:dyDescent="0.2">
      <c r="A327" s="255" t="str">
        <f>výpočty!$R$15</f>
        <v>Horizontális (balról jobbra)</v>
      </c>
      <c r="B327" s="256" t="str">
        <f>výpočty!$R$10</f>
        <v>Csigába</v>
      </c>
      <c r="C327" t="str">
        <f>výpočty!$R$3</f>
        <v>TOP basic-közézáródó vezetés csavarozásra műanyag</v>
      </c>
      <c r="D327" s="36" t="str">
        <f>výpočty!$W$8</f>
        <v>Cseresznye (E23)</v>
      </c>
      <c r="E327" t="s">
        <v>2131</v>
      </c>
      <c r="F327">
        <v>1</v>
      </c>
      <c r="G327" t="str">
        <f>Překlady!$A$147</f>
        <v xml:space="preserve"> TOP BASIC vezetésü rendszer nem kombinálható a csiga vezetéssel.Javasoljuk a TOP vezetésű verzió kiválasztását.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 xml:space="preserve"> TOP BASIC vezetésü rendszer nem kombinálható a csiga vezetéssel.Javasoljuk a TOP vezetésű verzió kiválasztását.</v>
      </c>
      <c r="N327">
        <f t="shared" si="17"/>
        <v>1</v>
      </c>
    </row>
    <row r="328" spans="1:14" x14ac:dyDescent="0.2">
      <c r="A328" s="255" t="str">
        <f>výpočty!$R$15</f>
        <v>Horizontális (balról jobbra)</v>
      </c>
      <c r="B328" s="256" t="str">
        <f>výpočty!$R$10</f>
        <v>Csigába</v>
      </c>
      <c r="C328" t="str">
        <f>výpočty!$R$3</f>
        <v>TOP basic-közézáródó vezetés csavarozásra műanyag</v>
      </c>
      <c r="D328" s="36" t="str">
        <f>výpočty!$W$9</f>
        <v>Jávor (E23)</v>
      </c>
      <c r="E328" t="s">
        <v>2131</v>
      </c>
      <c r="F328">
        <v>1</v>
      </c>
      <c r="G328" t="str">
        <f>Překlady!$A$147</f>
        <v xml:space="preserve"> TOP BASIC vezetésü rendszer nem kombinálható a csiga vezetéssel.Javasoljuk a TOP vezetésű verzió kiválasztását.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 xml:space="preserve"> TOP BASIC vezetésü rendszer nem kombinálható a csiga vezetéssel.Javasoljuk a TOP vezetésű verzió kiválasztását.</v>
      </c>
      <c r="N328">
        <f t="shared" si="17"/>
        <v>1</v>
      </c>
    </row>
    <row r="329" spans="1:14" x14ac:dyDescent="0.2">
      <c r="A329" s="255" t="str">
        <f>výpočty!$R$15</f>
        <v>Horizontális (balról jobbra)</v>
      </c>
      <c r="B329" s="256" t="str">
        <f>výpočty!$R$10</f>
        <v>Csigába</v>
      </c>
      <c r="C329" t="str">
        <f>výpočty!$R$3</f>
        <v>TOP basic-közézáródó vezetés csavarozásra műanyag</v>
      </c>
      <c r="D329" s="36" t="str">
        <f>výpočty!$W$10</f>
        <v>Nyír (E23)</v>
      </c>
      <c r="E329" t="s">
        <v>2131</v>
      </c>
      <c r="F329">
        <v>1</v>
      </c>
      <c r="G329" t="str">
        <f>Překlady!$A$147</f>
        <v xml:space="preserve"> TOP BASIC vezetésü rendszer nem kombinálható a csiga vezetéssel.Javasoljuk a TOP vezetésű verzió kiválasztását.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 xml:space="preserve"> TOP BASIC vezetésü rendszer nem kombinálható a csiga vezetéssel.Javasoljuk a TOP vezetésű verzió kiválasztását.</v>
      </c>
      <c r="N329">
        <f t="shared" si="17"/>
        <v>1</v>
      </c>
    </row>
    <row r="330" spans="1:14" x14ac:dyDescent="0.2">
      <c r="A330" s="255" t="str">
        <f>výpočty!$R$15</f>
        <v>Horizontális (balról jobbra)</v>
      </c>
      <c r="B330" s="256" t="str">
        <f>výpočty!$R$10</f>
        <v>Csigába</v>
      </c>
      <c r="C330" t="str">
        <f>výpočty!$R$3</f>
        <v>TOP basic-közézáródó vezetés csavarozásra műanyag</v>
      </c>
      <c r="D330" s="36" t="str">
        <f>výpočty!$W$11</f>
        <v>Cseresznye havana (E23)</v>
      </c>
      <c r="E330" t="s">
        <v>2131</v>
      </c>
      <c r="F330">
        <v>1</v>
      </c>
      <c r="G330" t="str">
        <f>Překlady!$A$147</f>
        <v xml:space="preserve"> TOP BASIC vezetésü rendszer nem kombinálható a csiga vezetéssel.Javasoljuk a TOP vezetésű verzió kiválasztását.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 xml:space="preserve"> TOP BASIC vezetésü rendszer nem kombinálható a csiga vezetéssel.Javasoljuk a TOP vezetésű verzió kiválasztását.</v>
      </c>
      <c r="N330">
        <f t="shared" si="17"/>
        <v>1</v>
      </c>
    </row>
    <row r="331" spans="1:14" x14ac:dyDescent="0.2">
      <c r="A331" s="255" t="str">
        <f>výpočty!$R$15</f>
        <v>Horizontális (balról jobbra)</v>
      </c>
      <c r="B331" s="256" t="str">
        <f>výpočty!$R$10</f>
        <v>Csigába</v>
      </c>
      <c r="C331" t="str">
        <f>výpočty!$R$3</f>
        <v>TOP basic-közézáródó vezetés csavarozásra műanyag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 xml:space="preserve"> TOP BASIC vezetésü rendszer nem kombinálható a csiga vezetéssel.Javasoljuk a TOP vezetésű verzió kiválasztását.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 xml:space="preserve"> TOP BASIC vezetésü rendszer nem kombinálható a csiga vezetéssel.Javasoljuk a TOP vezetésű verzió kiválasztását.</v>
      </c>
      <c r="N331">
        <f t="shared" si="17"/>
        <v>1</v>
      </c>
    </row>
    <row r="332" spans="1:14" x14ac:dyDescent="0.2">
      <c r="A332" s="255" t="str">
        <f>výpočty!$R$15</f>
        <v>Horizontális (balról jobbra)</v>
      </c>
      <c r="B332" s="256" t="str">
        <f>výpočty!$R$10</f>
        <v>Csigába</v>
      </c>
      <c r="C332" t="str">
        <f>výpočty!$R$3</f>
        <v>TOP basic-közézáródó vezetés csavarozásra műanyag</v>
      </c>
      <c r="D332" s="36" t="str">
        <f>výpočty!$W$14</f>
        <v>Hófehér Matt (E9)</v>
      </c>
      <c r="E332" t="s">
        <v>2131</v>
      </c>
      <c r="F332">
        <v>1</v>
      </c>
      <c r="G332" s="321" t="str">
        <f>Překlady!$A$142</f>
        <v>Az E9 profilnál a világos fehér kombinálható csak a Classic és a Top vezetésnél.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Az E9 profilnál a világos fehér kombinálható csak a Classic és a Top vezetésnél.</v>
      </c>
      <c r="N332">
        <f t="shared" si="17"/>
        <v>1</v>
      </c>
    </row>
    <row r="333" spans="1:14" x14ac:dyDescent="0.2">
      <c r="A333" s="255" t="str">
        <f>výpočty!$R$15</f>
        <v>Horizontális (balról jobbra)</v>
      </c>
      <c r="B333" s="256" t="str">
        <f>výpočty!$R$10</f>
        <v>Csigába</v>
      </c>
      <c r="C333" t="str">
        <f>výpočty!$R$3</f>
        <v>TOP basic-közézáródó vezetés csavarozásra műanyag</v>
      </c>
      <c r="D333" s="36" t="str">
        <f>výpočty!$W$15</f>
        <v>Alumínium-műanyag (E4)</v>
      </c>
      <c r="E333" t="s">
        <v>2131</v>
      </c>
      <c r="F333">
        <v>1</v>
      </c>
      <c r="G333" s="321" t="str">
        <f>Překlady!$A$143</f>
        <v xml:space="preserve"> E4 profil az alumínium műanyag színes elkészítése, alkalmas a vízszintes vezetésre,kombinálva a Classic vezetéssel,hátra tekercseléssel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 xml:space="preserve"> E4 profil az alumínium műanyag színes elkészítése, alkalmas a vízszintes vezetésre,kombinálva a Classic vezetéssel,hátra tekercseléssel</v>
      </c>
      <c r="N333">
        <f t="shared" si="17"/>
        <v>1</v>
      </c>
    </row>
    <row r="334" spans="1:14" x14ac:dyDescent="0.2">
      <c r="A334" s="255" t="str">
        <f>výpočty!$R$15</f>
        <v>Horizontális (balról jobbra)</v>
      </c>
      <c r="B334" s="256" t="str">
        <f>výpočty!$R$10</f>
        <v>Csigába</v>
      </c>
      <c r="C334" t="str">
        <f>výpočty!$R$3</f>
        <v>TOP basic-közézáródó vezetés csavarozásra műanyag</v>
      </c>
      <c r="D334" s="36">
        <f>výpočty!$W$17</f>
        <v>0</v>
      </c>
      <c r="E334" t="s">
        <v>2131</v>
      </c>
      <c r="F334">
        <v>1</v>
      </c>
      <c r="G334" t="str">
        <f>Překlady!$A$147</f>
        <v xml:space="preserve"> TOP BASIC vezetésü rendszer nem kombinálható a csiga vezetéssel.Javasoljuk a TOP vezetésű verzió kiválasztását.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 xml:space="preserve"> TOP BASIC vezetésü rendszer nem kombinálható a csiga vezetéssel.Javasoljuk a TOP vezetésű verzió kiválasztását.</v>
      </c>
      <c r="N334">
        <f t="shared" si="17"/>
        <v>1</v>
      </c>
    </row>
    <row r="335" spans="1:14" x14ac:dyDescent="0.2">
      <c r="A335" s="255" t="str">
        <f>výpočty!$R$15</f>
        <v>Horizontális (balról jobbra)</v>
      </c>
      <c r="B335" s="256" t="str">
        <f>výpočty!$R$10</f>
        <v>Csigába</v>
      </c>
      <c r="C335" t="str">
        <f>výpočty!$R$3</f>
        <v>TOP basic-közézáródó vezetés csavarozásra műanyag</v>
      </c>
      <c r="D335" s="36">
        <f>výpočty!$W$18</f>
        <v>0</v>
      </c>
      <c r="E335" t="s">
        <v>2131</v>
      </c>
      <c r="F335">
        <v>1</v>
      </c>
      <c r="G335" t="str">
        <f>Překlady!$A$147</f>
        <v xml:space="preserve"> TOP BASIC vezetésü rendszer nem kombinálható a csiga vezetéssel.Javasoljuk a TOP vezetésű verzió kiválasztását.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 xml:space="preserve"> TOP BASIC vezetésü rendszer nem kombinálható a csiga vezetéssel.Javasoljuk a TOP vezetésű verzió kiválasztását.</v>
      </c>
      <c r="N335">
        <f t="shared" si="17"/>
        <v>1</v>
      </c>
    </row>
    <row r="336" spans="1:14" x14ac:dyDescent="0.2">
      <c r="A336" s="255" t="str">
        <f>výpočty!$R$15</f>
        <v>Horizontális (balról jobbra)</v>
      </c>
      <c r="B336" s="256" t="str">
        <f>výpočty!$R$10</f>
        <v>Csigába</v>
      </c>
      <c r="C336" t="str">
        <f>výpočty!$R$3</f>
        <v>TOP basic-közézáródó vezetés csavarozásra műanyag</v>
      </c>
      <c r="D336" s="36" t="str">
        <f>výpočty!$W$19</f>
        <v>ALU szélesség 25 mm (metallic-line)</v>
      </c>
      <c r="E336" t="s">
        <v>2131</v>
      </c>
      <c r="F336">
        <v>1</v>
      </c>
      <c r="G336" t="str">
        <f>Překlady!$A$147</f>
        <v xml:space="preserve"> TOP BASIC vezetésü rendszer nem kombinálható a csiga vezetéssel.Javasoljuk a TOP vezetésű verzió kiválasztását.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 xml:space="preserve"> TOP BASIC vezetésü rendszer nem kombinálható a csiga vezetéssel.Javasoljuk a TOP vezetésű verzió kiválasztását.</v>
      </c>
      <c r="N336">
        <f t="shared" si="17"/>
        <v>1</v>
      </c>
    </row>
    <row r="337" spans="1:14" ht="13.5" thickBot="1" x14ac:dyDescent="0.25">
      <c r="A337" s="255" t="str">
        <f>výpočty!$R$15</f>
        <v>Horizontális (balról jobbra)</v>
      </c>
      <c r="B337" s="256" t="str">
        <f>výpočty!$R$10</f>
        <v>Csigába</v>
      </c>
      <c r="C337" t="str">
        <f>výpočty!$R$3</f>
        <v>TOP basic-közézáródó vezetés csavarozásra műanyag</v>
      </c>
      <c r="D337" s="27" t="str">
        <f>výpočty!$W$20</f>
        <v>Nemes acél szélesség 25 mm (metallic-line)</v>
      </c>
      <c r="E337" t="s">
        <v>2131</v>
      </c>
      <c r="F337">
        <v>1</v>
      </c>
      <c r="G337" t="str">
        <f>Překlady!$A$147</f>
        <v xml:space="preserve"> TOP BASIC vezetésü rendszer nem kombinálható a csiga vezetéssel.Javasoljuk a TOP vezetésű verzió kiválasztását.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 xml:space="preserve"> TOP BASIC vezetésü rendszer nem kombinálható a csiga vezetéssel.Javasoljuk a TOP vezetésű verzió kiválasztását.</v>
      </c>
      <c r="N337">
        <f t="shared" si="17"/>
        <v>1</v>
      </c>
    </row>
    <row r="338" spans="1:14" x14ac:dyDescent="0.2">
      <c r="A338" s="255" t="str">
        <f>výpočty!$R$15</f>
        <v>Horizontális (balról jobbra)</v>
      </c>
      <c r="B338" s="256" t="str">
        <f>výpočty!$R$10</f>
        <v>Csigába</v>
      </c>
      <c r="C338" t="str">
        <f>výpočty!$R$4</f>
        <v>Classic - közézáródó vezetés bemarásra</v>
      </c>
      <c r="D338" s="26" t="str">
        <f>výpočty!$W$3</f>
        <v>Fekete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Horizontális (balról jobbra)</v>
      </c>
      <c r="B339" s="256" t="str">
        <f>výpočty!$R$10</f>
        <v>Csigába</v>
      </c>
      <c r="C339" t="str">
        <f>výpočty!$R$4</f>
        <v>Classic - közézáródó vezetés bemarásra</v>
      </c>
      <c r="D339" s="36" t="str">
        <f>výpočty!$W$4</f>
        <v>Fehér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Horizontális (balról jobbra)</v>
      </c>
      <c r="B340" s="256" t="str">
        <f>výpočty!$R$10</f>
        <v>Csigába</v>
      </c>
      <c r="C340" t="str">
        <f>výpočty!$R$4</f>
        <v>Classic - közézáródó vezetés bemarásra</v>
      </c>
      <c r="D340" s="36" t="str">
        <f>výpočty!$W$5</f>
        <v>Szürke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Horizontális (balról jobbra)</v>
      </c>
      <c r="B341" s="256" t="str">
        <f>výpočty!$R$10</f>
        <v>Csigába</v>
      </c>
      <c r="C341" t="str">
        <f>výpočty!$R$4</f>
        <v>Classic - közézáródó vezetés bemarásra</v>
      </c>
      <c r="D341" s="36" t="str">
        <f>výpočty!$W$6</f>
        <v>Alumínium-műanyag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Horizontális (balról jobbra)</v>
      </c>
      <c r="B342" s="256" t="str">
        <f>výpočty!$R$10</f>
        <v>Csigába</v>
      </c>
      <c r="C342" t="str">
        <f>výpočty!$R$4</f>
        <v>Classic - közézáródó vezetés bemarásra</v>
      </c>
      <c r="D342" s="36" t="str">
        <f>výpočty!$W$7</f>
        <v>Bükk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Horizontális (balról jobbra)</v>
      </c>
      <c r="B343" s="256" t="str">
        <f>výpočty!$R$10</f>
        <v>Csigába</v>
      </c>
      <c r="C343" t="str">
        <f>výpočty!$R$4</f>
        <v>Classic - közézáródó vezetés bemarásra</v>
      </c>
      <c r="D343" s="36" t="str">
        <f>výpočty!$W$8</f>
        <v>Cseresznye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Horizontális (balról jobbra)</v>
      </c>
      <c r="B344" s="256" t="str">
        <f>výpočty!$R$10</f>
        <v>Csigába</v>
      </c>
      <c r="C344" t="str">
        <f>výpočty!$R$4</f>
        <v>Classic - közézáródó vezetés bemarásra</v>
      </c>
      <c r="D344" s="36" t="str">
        <f>výpočty!$W$9</f>
        <v>Jávor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Horizontális (balról jobbra)</v>
      </c>
      <c r="B345" s="256" t="str">
        <f>výpočty!$R$10</f>
        <v>Csigába</v>
      </c>
      <c r="C345" t="str">
        <f>výpočty!$R$4</f>
        <v>Classic - közézáródó vezetés bemarásra</v>
      </c>
      <c r="D345" s="36" t="str">
        <f>výpočty!$W$10</f>
        <v>Nyír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Horizontális (balról jobbra)</v>
      </c>
      <c r="B346" s="256" t="str">
        <f>výpočty!$R$10</f>
        <v>Csigába</v>
      </c>
      <c r="C346" t="str">
        <f>výpočty!$R$4</f>
        <v>Classic - közézáródó vezetés bemarásra</v>
      </c>
      <c r="D346" s="36" t="str">
        <f>výpočty!$W$11</f>
        <v>Cseresznye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Horizontális (balról jobbra)</v>
      </c>
      <c r="B347" s="256" t="str">
        <f>výpočty!$R$10</f>
        <v>Csigába</v>
      </c>
      <c r="C347" t="str">
        <f>výpočty!$R$4</f>
        <v>Classic - közézáródó vezetés bemarásra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Horizontális (balról jobbra)</v>
      </c>
      <c r="B348" s="256" t="str">
        <f>výpočty!$R$10</f>
        <v>Csigába</v>
      </c>
      <c r="C348" t="str">
        <f>výpočty!$R$4</f>
        <v>Classic - közézáródó vezetés bemarásra</v>
      </c>
      <c r="D348" s="350" t="str">
        <f>výpočty!$W$14</f>
        <v>Hófehér Matt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Horizontális (balról jobbra)</v>
      </c>
      <c r="B349" s="256" t="str">
        <f>výpočty!$R$10</f>
        <v>Csigába</v>
      </c>
      <c r="C349" t="str">
        <f>výpočty!$R$4</f>
        <v>Classic - közézáródó vezetés bemarásra</v>
      </c>
      <c r="D349" s="36" t="str">
        <f>výpočty!$W$15</f>
        <v>Alumínium-műanyag (E4)</v>
      </c>
      <c r="E349" s="321" t="s">
        <v>2131</v>
      </c>
      <c r="F349" s="321">
        <v>1</v>
      </c>
      <c r="G349" s="321" t="str">
        <f>Překlady!$A$143</f>
        <v xml:space="preserve"> E4 profil az alumínium műanyag színes elkészítése, alkalmas a vízszintes vezetésre,kombinálva a Classic vezetéssel,hátra tekercseléssel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 xml:space="preserve"> E4 profil az alumínium műanyag színes elkészítése, alkalmas a vízszintes vezetésre,kombinálva a Classic vezetéssel,hátra tekercseléssel</v>
      </c>
      <c r="N349">
        <f t="shared" si="17"/>
        <v>1</v>
      </c>
    </row>
    <row r="350" spans="1:14" x14ac:dyDescent="0.2">
      <c r="A350" s="255" t="str">
        <f>výpočty!$R$15</f>
        <v>Horizontális (balról jobbra)</v>
      </c>
      <c r="B350" s="256" t="str">
        <f>výpočty!$R$10</f>
        <v>Csigába</v>
      </c>
      <c r="C350" t="str">
        <f>výpočty!$R$4</f>
        <v>Classic - közézáródó vezetés bemarásra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Horizontális (balról jobbra)</v>
      </c>
      <c r="B351" s="256" t="str">
        <f>výpočty!$R$10</f>
        <v>Csigába</v>
      </c>
      <c r="C351" t="str">
        <f>výpočty!$R$4</f>
        <v>Classic - közézáródó vezetés bemarásra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Horizontális (balról jobbra)</v>
      </c>
      <c r="B352" s="256" t="str">
        <f>výpočty!$R$10</f>
        <v>Csigába</v>
      </c>
      <c r="C352" t="str">
        <f>výpočty!$R$4</f>
        <v>Classic - közézáródó vezetés bemarásra</v>
      </c>
      <c r="D352" s="36" t="str">
        <f>výpočty!$W$19</f>
        <v>ALU szélesség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Horizontális (balról jobbra)</v>
      </c>
      <c r="B353" s="256" t="str">
        <f>výpočty!$R$10</f>
        <v>Csigába</v>
      </c>
      <c r="C353" t="str">
        <f>výpočty!$R$4</f>
        <v>Classic - közézáródó vezetés bemarásra</v>
      </c>
      <c r="D353" s="27" t="str">
        <f>výpočty!$W$20</f>
        <v>Nemes acél szélesség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Horizontális (balról jobbra)</v>
      </c>
      <c r="B354" s="256" t="str">
        <f>výpočty!$R$10</f>
        <v>Csigába</v>
      </c>
      <c r="C354" t="str">
        <f>výpočty!$R$5</f>
        <v xml:space="preserve">Frame - ráütődő takaró léces vezetéssel </v>
      </c>
      <c r="D354" s="26" t="str">
        <f>výpočty!$W$3</f>
        <v>Fekete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Horizontális (balról jobbra)</v>
      </c>
      <c r="B355" s="256" t="str">
        <f>výpočty!$R$10</f>
        <v>Csigába</v>
      </c>
      <c r="C355" t="str">
        <f>výpočty!$R$5</f>
        <v xml:space="preserve">Frame - ráütődő takaró léces vezetéssel </v>
      </c>
      <c r="D355" s="36" t="str">
        <f>výpočty!$W$4</f>
        <v>Fehér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Horizontális (balról jobbra)</v>
      </c>
      <c r="B356" s="256" t="str">
        <f>výpočty!$R$10</f>
        <v>Csigába</v>
      </c>
      <c r="C356" t="str">
        <f>výpočty!$R$5</f>
        <v xml:space="preserve">Frame - ráütődő takaró léces vezetéssel </v>
      </c>
      <c r="D356" s="36" t="str">
        <f>výpočty!$W$5</f>
        <v>Szürke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Horizontális (balról jobbra)</v>
      </c>
      <c r="B357" s="256" t="str">
        <f>výpočty!$R$10</f>
        <v>Csigába</v>
      </c>
      <c r="C357" t="str">
        <f>výpočty!$R$5</f>
        <v xml:space="preserve">Frame - ráütődő takaró léces vezetéssel </v>
      </c>
      <c r="D357" s="36" t="str">
        <f>výpočty!$W$6</f>
        <v>Alumínium-műanyag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Horizontális (balról jobbra)</v>
      </c>
      <c r="B358" s="256" t="str">
        <f>výpočty!$R$10</f>
        <v>Csigába</v>
      </c>
      <c r="C358" t="str">
        <f>výpočty!$R$5</f>
        <v xml:space="preserve">Frame - ráütődő takaró léces vezetéssel </v>
      </c>
      <c r="D358" s="36" t="str">
        <f>výpočty!$W$7</f>
        <v>Bükk (E23)</v>
      </c>
      <c r="E358" t="s">
        <v>2131</v>
      </c>
      <c r="F358">
        <v>1</v>
      </c>
      <c r="G358" s="321" t="str">
        <f>Překlady!$A$145</f>
        <v>A Bükk színes elkészítése az E23 profilnál, nem kombinálható a FRAME vezetéssel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A Bükk színes elkészítése az E23 profilnál, nem kombinálható a FRAME vezetéssel</v>
      </c>
      <c r="N358">
        <f t="shared" si="17"/>
        <v>1</v>
      </c>
    </row>
    <row r="359" spans="1:14" x14ac:dyDescent="0.2">
      <c r="A359" s="255" t="str">
        <f>výpočty!$R$15</f>
        <v>Horizontális (balról jobbra)</v>
      </c>
      <c r="B359" s="256" t="str">
        <f>výpočty!$R$10</f>
        <v>Csigába</v>
      </c>
      <c r="C359" t="str">
        <f>výpočty!$R$5</f>
        <v xml:space="preserve">Frame - ráütődő takaró léces vezetéssel </v>
      </c>
      <c r="D359" s="36" t="str">
        <f>výpočty!$W$8</f>
        <v>Cseresznye (E23)</v>
      </c>
      <c r="E359" t="s">
        <v>2130</v>
      </c>
      <c r="F359">
        <v>1</v>
      </c>
      <c r="G359" t="str">
        <f>Překlady!$A$176</f>
        <v>A Cseresznye színes elkészítése az E23 profilnál, nem kombinálható a FRAME vezetéssel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A Cseresznye színes elkészítése az E23 profilnál, nem kombinálható a FRAME vezetéssel</v>
      </c>
      <c r="N359">
        <f t="shared" si="17"/>
        <v>1</v>
      </c>
    </row>
    <row r="360" spans="1:14" x14ac:dyDescent="0.2">
      <c r="A360" s="255" t="str">
        <f>výpočty!$R$15</f>
        <v>Horizontális (balról jobbra)</v>
      </c>
      <c r="B360" s="256" t="str">
        <f>výpočty!$R$10</f>
        <v>Csigába</v>
      </c>
      <c r="C360" t="str">
        <f>výpočty!$R$5</f>
        <v xml:space="preserve">Frame - ráütődő takaró léces vezetéssel </v>
      </c>
      <c r="D360" s="36" t="str">
        <f>výpočty!$W$9</f>
        <v>Jávor (E23)</v>
      </c>
      <c r="E360" t="s">
        <v>2130</v>
      </c>
      <c r="F360">
        <v>1</v>
      </c>
      <c r="G360" t="str">
        <f>Překlady!$A$177</f>
        <v>A Jávor színes elkészítése az E23 profilnál, nem kombinálható a FRAME vezetéssel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A Jávor színes elkészítése az E23 profilnál, nem kombinálható a FRAME vezetéssel</v>
      </c>
      <c r="N360">
        <f t="shared" si="17"/>
        <v>1</v>
      </c>
    </row>
    <row r="361" spans="1:14" x14ac:dyDescent="0.2">
      <c r="A361" s="255" t="str">
        <f>výpočty!$R$15</f>
        <v>Horizontális (balról jobbra)</v>
      </c>
      <c r="B361" s="256" t="str">
        <f>výpočty!$R$10</f>
        <v>Csigába</v>
      </c>
      <c r="C361" t="str">
        <f>výpočty!$R$5</f>
        <v xml:space="preserve">Frame - ráütődő takaró léces vezetéssel </v>
      </c>
      <c r="D361" s="36" t="str">
        <f>výpočty!$W$10</f>
        <v>Nyír (E23)</v>
      </c>
      <c r="E361" t="s">
        <v>2130</v>
      </c>
      <c r="F361">
        <v>1</v>
      </c>
      <c r="G361" t="str">
        <f>Překlady!$A$175</f>
        <v>A Nyír színes elkészítése az E23 profilnál, nem kombinálható a FRAME vezetéssel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A Nyír színes elkészítése az E23 profilnál, nem kombinálható a FRAME vezetéssel</v>
      </c>
      <c r="N361">
        <f t="shared" si="17"/>
        <v>1</v>
      </c>
    </row>
    <row r="362" spans="1:14" x14ac:dyDescent="0.2">
      <c r="A362" s="255" t="str">
        <f>výpočty!$R$15</f>
        <v>Horizontális (balról jobbra)</v>
      </c>
      <c r="B362" s="256" t="str">
        <f>výpočty!$R$10</f>
        <v>Csigába</v>
      </c>
      <c r="C362" t="str">
        <f>výpočty!$R$5</f>
        <v xml:space="preserve">Frame - ráütődő takaró léces vezetéssel </v>
      </c>
      <c r="D362" s="36" t="str">
        <f>výpočty!$W$11</f>
        <v>Cseresznye havana (E23)</v>
      </c>
      <c r="E362" t="s">
        <v>2130</v>
      </c>
      <c r="F362">
        <v>1</v>
      </c>
      <c r="G362" t="str">
        <f>Překlady!$A$170</f>
        <v>A Cseresznye havana színes elkészítése az E23 profilnál, nem kombinálható a FRAME vezetéssel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A Cseresznye havana színes elkészítése az E23 profilnál, nem kombinálható a FRAME vezetéssel</v>
      </c>
      <c r="N362">
        <f t="shared" si="17"/>
        <v>1</v>
      </c>
    </row>
    <row r="363" spans="1:14" x14ac:dyDescent="0.2">
      <c r="A363" s="255" t="str">
        <f>výpočty!$R$15</f>
        <v>Horizontális (balról jobbra)</v>
      </c>
      <c r="B363" s="256" t="str">
        <f>výpočty!$R$10</f>
        <v>Csigába</v>
      </c>
      <c r="C363" t="str">
        <f>výpočty!$R$5</f>
        <v xml:space="preserve">Frame - ráütődő takaró léces vezetéssel 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Horizontális (balról jobbra)</v>
      </c>
      <c r="B364" s="256" t="str">
        <f>výpočty!$R$10</f>
        <v>Csigába</v>
      </c>
      <c r="C364" t="str">
        <f>výpočty!$R$5</f>
        <v xml:space="preserve">Frame - ráütődő takaró léces vezetéssel </v>
      </c>
      <c r="D364" s="36" t="str">
        <f>výpočty!$W$14</f>
        <v>Hófehér Matt (E9)</v>
      </c>
      <c r="E364" s="321" t="s">
        <v>2131</v>
      </c>
      <c r="F364" s="321">
        <v>1</v>
      </c>
      <c r="G364" s="321" t="str">
        <f>Překlady!$A$142</f>
        <v>Az E9 profilnál a világos fehér kombinálható csak a Classic és a Top vezetésnél.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Az E9 profilnál a világos fehér kombinálható csak a Classic és a Top vezetésnél.</v>
      </c>
      <c r="N364">
        <f t="shared" si="17"/>
        <v>1</v>
      </c>
    </row>
    <row r="365" spans="1:14" x14ac:dyDescent="0.2">
      <c r="A365" s="255" t="str">
        <f>výpočty!$R$15</f>
        <v>Horizontális (balról jobbra)</v>
      </c>
      <c r="B365" s="256" t="str">
        <f>výpočty!$R$10</f>
        <v>Csigába</v>
      </c>
      <c r="C365" t="str">
        <f>výpočty!$R$5</f>
        <v xml:space="preserve">Frame - ráütődő takaró léces vezetéssel </v>
      </c>
      <c r="D365" s="36" t="str">
        <f>výpočty!$W$15</f>
        <v>Alumínium-műanyag (E4)</v>
      </c>
      <c r="E365" t="s">
        <v>2131</v>
      </c>
      <c r="F365">
        <v>1</v>
      </c>
      <c r="G365" s="321" t="str">
        <f>Překlady!$A$143</f>
        <v xml:space="preserve"> E4 profil az alumínium műanyag színes elkészítése, alkalmas a vízszintes vezetésre,kombinálva a Classic vezetéssel,hátra tekercseléssel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 xml:space="preserve"> E4 profil az alumínium műanyag színes elkészítése, alkalmas a vízszintes vezetésre,kombinálva a Classic vezetéssel,hátra tekercseléssel</v>
      </c>
      <c r="N365">
        <f t="shared" si="17"/>
        <v>1</v>
      </c>
    </row>
    <row r="366" spans="1:14" x14ac:dyDescent="0.2">
      <c r="A366" s="255" t="str">
        <f>výpočty!$R$15</f>
        <v>Horizontális (balról jobbra)</v>
      </c>
      <c r="B366" s="256" t="str">
        <f>výpočty!$R$10</f>
        <v>Csigába</v>
      </c>
      <c r="C366" t="str">
        <f>výpočty!$R$5</f>
        <v xml:space="preserve">Frame - ráütődő takaró léces vezetéssel 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Horizontális (balról jobbra)</v>
      </c>
      <c r="B367" s="256" t="str">
        <f>výpočty!$R$10</f>
        <v>Csigába</v>
      </c>
      <c r="C367" t="str">
        <f>výpočty!$R$5</f>
        <v xml:space="preserve">Frame - ráütődő takaró léces vezetéssel 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Horizontális (balról jobbra)</v>
      </c>
      <c r="B368" s="256" t="str">
        <f>výpočty!$R$10</f>
        <v>Csigába</v>
      </c>
      <c r="C368" t="str">
        <f>výpočty!$R$5</f>
        <v xml:space="preserve">Frame - ráütődő takaró léces vezetéssel </v>
      </c>
      <c r="D368" s="36" t="str">
        <f>výpočty!$W$19</f>
        <v>ALU szélesség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Horizontális (balról jobbra)</v>
      </c>
      <c r="B369" s="256" t="str">
        <f>výpočty!$R$10</f>
        <v>Csigába</v>
      </c>
      <c r="C369" t="str">
        <f>výpočty!$R$5</f>
        <v xml:space="preserve">Frame - ráütődő takaró léces vezetéssel </v>
      </c>
      <c r="D369" s="27" t="str">
        <f>výpočty!$W$20</f>
        <v>Nemes acél szélesség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Horizontális (balról jobbra)</v>
      </c>
      <c r="B370" s="256" t="str">
        <f>výpočty!$R$10</f>
        <v>Csigába</v>
      </c>
      <c r="C370" t="str">
        <f>výpočty!$R$6</f>
        <v>TOP - közzézáródó vezetés csavarozásra fém takaró léccel</v>
      </c>
      <c r="D370" s="26" t="str">
        <f>výpočty!$W$3</f>
        <v>Fekete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Horizontális (balról jobbra)</v>
      </c>
      <c r="B371" s="256" t="str">
        <f>výpočty!$R$10</f>
        <v>Csigába</v>
      </c>
      <c r="C371" t="str">
        <f>výpočty!$R$6</f>
        <v>TOP - közzézáródó vezetés csavarozásra fém takaró léccel</v>
      </c>
      <c r="D371" s="36" t="str">
        <f>výpočty!$W$4</f>
        <v>Fehér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Horizontális (balról jobbra)</v>
      </c>
      <c r="B372" s="256" t="str">
        <f>výpočty!$R$10</f>
        <v>Csigába</v>
      </c>
      <c r="C372" t="str">
        <f>výpočty!$R$6</f>
        <v>TOP - közzézáródó vezetés csavarozásra fém takaró léccel</v>
      </c>
      <c r="D372" s="36" t="str">
        <f>výpočty!$W$5</f>
        <v>Szürke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Horizontális (balról jobbra)</v>
      </c>
      <c r="B373" s="256" t="str">
        <f>výpočty!$R$10</f>
        <v>Csigába</v>
      </c>
      <c r="C373" t="str">
        <f>výpočty!$R$6</f>
        <v>TOP - közzézáródó vezetés csavarozásra fém takaró léccel</v>
      </c>
      <c r="D373" s="36" t="str">
        <f>výpočty!$W$6</f>
        <v>Alumínium-műanyag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Horizontális (balról jobbra)</v>
      </c>
      <c r="B374" s="256" t="str">
        <f>výpočty!$R$10</f>
        <v>Csigába</v>
      </c>
      <c r="C374" t="str">
        <f>výpočty!$R$6</f>
        <v>TOP - közzézáródó vezetés csavarozásra fém takaró léccel</v>
      </c>
      <c r="D374" s="36" t="str">
        <f>výpočty!$W$7</f>
        <v>Bükk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Horizontális (balról jobbra)</v>
      </c>
      <c r="B375" s="256" t="str">
        <f>výpočty!$R$10</f>
        <v>Csigába</v>
      </c>
      <c r="C375" t="str">
        <f>výpočty!$R$6</f>
        <v>TOP - közzézáródó vezetés csavarozásra fém takaró léccel</v>
      </c>
      <c r="D375" s="36" t="str">
        <f>výpočty!$W$8</f>
        <v>Cseresznye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Horizontális (balról jobbra)</v>
      </c>
      <c r="B376" s="256" t="str">
        <f>výpočty!$R$10</f>
        <v>Csigába</v>
      </c>
      <c r="C376" t="str">
        <f>výpočty!$R$6</f>
        <v>TOP - közzézáródó vezetés csavarozásra fém takaró léccel</v>
      </c>
      <c r="D376" s="36" t="str">
        <f>výpočty!$W$9</f>
        <v>Jávor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Horizontális (balról jobbra)</v>
      </c>
      <c r="B377" s="256" t="str">
        <f>výpočty!$R$10</f>
        <v>Csigába</v>
      </c>
      <c r="C377" t="str">
        <f>výpočty!$R$6</f>
        <v>TOP - közzézáródó vezetés csavarozásra fém takaró léccel</v>
      </c>
      <c r="D377" s="36" t="str">
        <f>výpočty!$W$10</f>
        <v>Nyír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Horizontális (balról jobbra)</v>
      </c>
      <c r="B378" s="256" t="str">
        <f>výpočty!$R$10</f>
        <v>Csigába</v>
      </c>
      <c r="C378" t="str">
        <f>výpočty!$R$6</f>
        <v>TOP - közzézáródó vezetés csavarozásra fém takaró léccel</v>
      </c>
      <c r="D378" s="36" t="str">
        <f>výpočty!$W$11</f>
        <v>Cseresznye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Horizontális (balról jobbra)</v>
      </c>
      <c r="B379" s="256" t="str">
        <f>výpočty!$R$10</f>
        <v>Csigába</v>
      </c>
      <c r="C379" t="str">
        <f>výpočty!$R$6</f>
        <v>TOP - közzézáródó vezetés csavarozásra fém takaró léccel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Horizontális (balról jobbra)</v>
      </c>
      <c r="B380" s="256" t="str">
        <f>výpočty!$R$10</f>
        <v>Csigába</v>
      </c>
      <c r="C380" t="str">
        <f>výpočty!$R$6</f>
        <v>TOP - közzézáródó vezetés csavarozásra fém takaró léccel</v>
      </c>
      <c r="D380" s="350" t="str">
        <f>výpočty!$W$14</f>
        <v>Hófehér Matt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Horizontális (balról jobbra)</v>
      </c>
      <c r="B381" s="256" t="str">
        <f>výpočty!$R$10</f>
        <v>Csigába</v>
      </c>
      <c r="C381" t="str">
        <f>výpočty!$R$6</f>
        <v>TOP - közzézáródó vezetés csavarozásra fém takaró léccel</v>
      </c>
      <c r="D381" s="36" t="str">
        <f>výpočty!$W$15</f>
        <v>Alumínium-műanyag (E4)</v>
      </c>
      <c r="E381" t="s">
        <v>2131</v>
      </c>
      <c r="F381">
        <v>1</v>
      </c>
      <c r="G381" s="321" t="str">
        <f>Překlady!$A$143</f>
        <v xml:space="preserve"> E4 profil az alumínium műanyag színes elkészítése, alkalmas a vízszintes vezetésre,kombinálva a Classic vezetéssel,hátra tekercseléssel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 xml:space="preserve"> E4 profil az alumínium műanyag színes elkészítése, alkalmas a vízszintes vezetésre,kombinálva a Classic vezetéssel,hátra tekercseléssel</v>
      </c>
      <c r="N381">
        <f t="shared" si="17"/>
        <v>1</v>
      </c>
    </row>
    <row r="382" spans="1:14" x14ac:dyDescent="0.2">
      <c r="A382" s="255" t="str">
        <f>výpočty!$R$15</f>
        <v>Horizontális (balról jobbra)</v>
      </c>
      <c r="B382" s="256" t="str">
        <f>výpočty!$R$10</f>
        <v>Csigába</v>
      </c>
      <c r="C382" t="str">
        <f>výpočty!$R$6</f>
        <v>TOP - közzézáródó vezetés csavarozásra fém takaró léccel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Horizontális (balról jobbra)</v>
      </c>
      <c r="B383" s="256" t="str">
        <f>výpočty!$R$10</f>
        <v>Csigába</v>
      </c>
      <c r="C383" t="str">
        <f>výpočty!$R$6</f>
        <v>TOP - közzézáródó vezetés csavarozásra fém takaró léccel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Horizontális (balról jobbra)</v>
      </c>
      <c r="B384" s="256" t="str">
        <f>výpočty!$R$10</f>
        <v>Csigába</v>
      </c>
      <c r="C384" t="str">
        <f>výpočty!$R$6</f>
        <v>TOP - közzézáródó vezetés csavarozásra fém takaró léccel</v>
      </c>
      <c r="D384" s="36" t="str">
        <f>výpočty!$W$19</f>
        <v>ALU szélesség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Horizontális (balról jobbra)</v>
      </c>
      <c r="B385" s="256" t="str">
        <f>výpočty!$R$10</f>
        <v>Csigába</v>
      </c>
      <c r="C385" t="str">
        <f>výpočty!$R$6</f>
        <v>TOP - közzézáródó vezetés csavarozásra fém takaró léccel</v>
      </c>
      <c r="D385" s="27" t="str">
        <f>výpočty!$W$20</f>
        <v>Nemes acél szélesség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Horizontális (balról jobbra)</v>
      </c>
      <c r="B386" s="256" t="str">
        <f>výpočty!$R$10</f>
        <v>Csigába</v>
      </c>
      <c r="C386" t="str">
        <f>výpočty!$R$7</f>
        <v>Ráütődő metallic-line vezetéssel 29mm és C3 mech.</v>
      </c>
      <c r="D386" s="26" t="str">
        <f>výpočty!$W$3</f>
        <v>Fekete (E23)</v>
      </c>
      <c r="E386" t="s">
        <v>2131</v>
      </c>
      <c r="F386">
        <v>1</v>
      </c>
      <c r="G386" s="321" t="str">
        <f>Překlady!$A$153</f>
        <v>A vezetésnél, hátra és a csigába ,nem lehet használni ráütődő rendszert 29mm és a C3 mech.Szükséges választani FRAME verziót.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A vezetésnél, hátra és a csigába ,nem lehet használni ráütődő rendszert 29mm és a C3 mech.Szükséges választani FRAME verziót.</v>
      </c>
      <c r="N386">
        <f t="shared" si="17"/>
        <v>1</v>
      </c>
    </row>
    <row r="387" spans="1:14" x14ac:dyDescent="0.2">
      <c r="A387" s="255" t="str">
        <f>výpočty!$R$15</f>
        <v>Horizontális (balról jobbra)</v>
      </c>
      <c r="B387" s="256" t="str">
        <f>výpočty!$R$10</f>
        <v>Csigába</v>
      </c>
      <c r="C387" t="str">
        <f>výpočty!$R$7</f>
        <v>Ráütődő metallic-line vezetéssel 29mm és C3 mech.</v>
      </c>
      <c r="D387" s="36" t="str">
        <f>výpočty!$W$4</f>
        <v>Fehér (E23)</v>
      </c>
      <c r="E387" t="s">
        <v>2131</v>
      </c>
      <c r="F387">
        <v>1</v>
      </c>
      <c r="G387" s="321" t="str">
        <f>Překlady!$A$153</f>
        <v>A vezetésnél, hátra és a csigába ,nem lehet használni ráütődő rendszert 29mm és a C3 mech.Szükséges választani FRAME verziót.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A vezetésnél, hátra és a csigába ,nem lehet használni ráütődő rendszert 29mm és a C3 mech.Szükséges választani FRAME verziót.</v>
      </c>
      <c r="N387">
        <f t="shared" ref="N387:N450" si="20">F:F</f>
        <v>1</v>
      </c>
    </row>
    <row r="388" spans="1:14" x14ac:dyDescent="0.2">
      <c r="A388" s="255" t="str">
        <f>výpočty!$R$15</f>
        <v>Horizontális (balról jobbra)</v>
      </c>
      <c r="B388" s="256" t="str">
        <f>výpočty!$R$10</f>
        <v>Csigába</v>
      </c>
      <c r="C388" t="str">
        <f>výpočty!$R$7</f>
        <v>Ráütődő metallic-line vezetéssel 29mm és C3 mech.</v>
      </c>
      <c r="D388" s="36" t="str">
        <f>výpočty!$W$5</f>
        <v>Szürke (E23)</v>
      </c>
      <c r="E388" t="s">
        <v>2131</v>
      </c>
      <c r="F388">
        <v>1</v>
      </c>
      <c r="G388" s="321" t="str">
        <f>Překlady!$A$153</f>
        <v>A vezetésnél, hátra és a csigába ,nem lehet használni ráütődő rendszert 29mm és a C3 mech.Szükséges választani FRAME verziót.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A vezetésnél, hátra és a csigába ,nem lehet használni ráütődő rendszert 29mm és a C3 mech.Szükséges választani FRAME verziót.</v>
      </c>
      <c r="N388">
        <f t="shared" si="20"/>
        <v>1</v>
      </c>
    </row>
    <row r="389" spans="1:14" x14ac:dyDescent="0.2">
      <c r="A389" s="255" t="str">
        <f>výpočty!$R$15</f>
        <v>Horizontális (balról jobbra)</v>
      </c>
      <c r="B389" s="256" t="str">
        <f>výpočty!$R$10</f>
        <v>Csigába</v>
      </c>
      <c r="C389" t="str">
        <f>výpočty!$R$7</f>
        <v>Ráütődő metallic-line vezetéssel 29mm és C3 mech.</v>
      </c>
      <c r="D389" s="36" t="str">
        <f>výpočty!$W$6</f>
        <v>Alumínium-műanyag (E23)</v>
      </c>
      <c r="E389" t="s">
        <v>2131</v>
      </c>
      <c r="F389">
        <v>1</v>
      </c>
      <c r="G389" s="321" t="str">
        <f>Překlady!$A$153</f>
        <v>A vezetésnél, hátra és a csigába ,nem lehet használni ráütődő rendszert 29mm és a C3 mech.Szükséges választani FRAME verziót.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A vezetésnél, hátra és a csigába ,nem lehet használni ráütődő rendszert 29mm és a C3 mech.Szükséges választani FRAME verziót.</v>
      </c>
      <c r="N389">
        <f t="shared" si="20"/>
        <v>1</v>
      </c>
    </row>
    <row r="390" spans="1:14" x14ac:dyDescent="0.2">
      <c r="A390" s="255" t="str">
        <f>výpočty!$R$15</f>
        <v>Horizontális (balról jobbra)</v>
      </c>
      <c r="B390" s="256" t="str">
        <f>výpočty!$R$10</f>
        <v>Csigába</v>
      </c>
      <c r="C390" t="str">
        <f>výpočty!$R$7</f>
        <v>Ráütődő metallic-line vezetéssel 29mm és C3 mech.</v>
      </c>
      <c r="D390" s="36" t="str">
        <f>výpočty!$W$7</f>
        <v>Bükk (E23)</v>
      </c>
      <c r="E390" t="s">
        <v>2131</v>
      </c>
      <c r="F390">
        <v>1</v>
      </c>
      <c r="G390" s="321" t="str">
        <f>Překlady!$A$153</f>
        <v>A vezetésnél, hátra és a csigába ,nem lehet használni ráütődő rendszert 29mm és a C3 mech.Szükséges választani FRAME verziót.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A vezetésnél, hátra és a csigába ,nem lehet használni ráütődő rendszert 29mm és a C3 mech.Szükséges választani FRAME verziót.</v>
      </c>
      <c r="N390">
        <f t="shared" si="20"/>
        <v>1</v>
      </c>
    </row>
    <row r="391" spans="1:14" x14ac:dyDescent="0.2">
      <c r="A391" s="255" t="str">
        <f>výpočty!$R$15</f>
        <v>Horizontális (balról jobbra)</v>
      </c>
      <c r="B391" s="256" t="str">
        <f>výpočty!$R$10</f>
        <v>Csigába</v>
      </c>
      <c r="C391" t="str">
        <f>výpočty!$R$7</f>
        <v>Ráütődő metallic-line vezetéssel 29mm és C3 mech.</v>
      </c>
      <c r="D391" s="36" t="str">
        <f>výpočty!$W$8</f>
        <v>Cseresznye (E23)</v>
      </c>
      <c r="E391" t="s">
        <v>2131</v>
      </c>
      <c r="F391">
        <v>1</v>
      </c>
      <c r="G391" s="321" t="str">
        <f>Překlady!$A$153</f>
        <v>A vezetésnél, hátra és a csigába ,nem lehet használni ráütődő rendszert 29mm és a C3 mech.Szükséges választani FRAME verziót.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A vezetésnél, hátra és a csigába ,nem lehet használni ráütődő rendszert 29mm és a C3 mech.Szükséges választani FRAME verziót.</v>
      </c>
      <c r="N391">
        <f t="shared" si="20"/>
        <v>1</v>
      </c>
    </row>
    <row r="392" spans="1:14" x14ac:dyDescent="0.2">
      <c r="A392" s="255" t="str">
        <f>výpočty!$R$15</f>
        <v>Horizontális (balról jobbra)</v>
      </c>
      <c r="B392" s="256" t="str">
        <f>výpočty!$R$10</f>
        <v>Csigába</v>
      </c>
      <c r="C392" t="str">
        <f>výpočty!$R$7</f>
        <v>Ráütődő metallic-line vezetéssel 29mm és C3 mech.</v>
      </c>
      <c r="D392" s="36" t="str">
        <f>výpočty!$W$9</f>
        <v>Jávor (E23)</v>
      </c>
      <c r="E392" t="s">
        <v>2131</v>
      </c>
      <c r="F392">
        <v>1</v>
      </c>
      <c r="G392" s="321" t="str">
        <f>Překlady!$A$153</f>
        <v>A vezetésnél, hátra és a csigába ,nem lehet használni ráütődő rendszert 29mm és a C3 mech.Szükséges választani FRAME verziót.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A vezetésnél, hátra és a csigába ,nem lehet használni ráütődő rendszert 29mm és a C3 mech.Szükséges választani FRAME verziót.</v>
      </c>
      <c r="N392">
        <f t="shared" si="20"/>
        <v>1</v>
      </c>
    </row>
    <row r="393" spans="1:14" x14ac:dyDescent="0.2">
      <c r="A393" s="255" t="str">
        <f>výpočty!$R$15</f>
        <v>Horizontális (balról jobbra)</v>
      </c>
      <c r="B393" s="256" t="str">
        <f>výpočty!$R$10</f>
        <v>Csigába</v>
      </c>
      <c r="C393" t="str">
        <f>výpočty!$R$7</f>
        <v>Ráütődő metallic-line vezetéssel 29mm és C3 mech.</v>
      </c>
      <c r="D393" s="36" t="str">
        <f>výpočty!$W$10</f>
        <v>Nyír (E23)</v>
      </c>
      <c r="E393" t="s">
        <v>2131</v>
      </c>
      <c r="F393">
        <v>1</v>
      </c>
      <c r="G393" s="321" t="str">
        <f>Překlady!$A$153</f>
        <v>A vezetésnél, hátra és a csigába ,nem lehet használni ráütődő rendszert 29mm és a C3 mech.Szükséges választani FRAME verziót.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A vezetésnél, hátra és a csigába ,nem lehet használni ráütődő rendszert 29mm és a C3 mech.Szükséges választani FRAME verziót.</v>
      </c>
      <c r="N393">
        <f t="shared" si="20"/>
        <v>1</v>
      </c>
    </row>
    <row r="394" spans="1:14" x14ac:dyDescent="0.2">
      <c r="A394" s="255" t="str">
        <f>výpočty!$R$15</f>
        <v>Horizontális (balról jobbra)</v>
      </c>
      <c r="B394" s="256" t="str">
        <f>výpočty!$R$10</f>
        <v>Csigába</v>
      </c>
      <c r="C394" t="str">
        <f>výpočty!$R$7</f>
        <v>Ráütődő metallic-line vezetéssel 29mm és C3 mech.</v>
      </c>
      <c r="D394" s="36" t="str">
        <f>výpočty!$W$11</f>
        <v>Cseresznye havana (E23)</v>
      </c>
      <c r="E394" t="s">
        <v>2131</v>
      </c>
      <c r="F394">
        <v>1</v>
      </c>
      <c r="G394" s="321" t="str">
        <f>Překlady!$A$153</f>
        <v>A vezetésnél, hátra és a csigába ,nem lehet használni ráütődő rendszert 29mm és a C3 mech.Szükséges választani FRAME verziót.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A vezetésnél, hátra és a csigába ,nem lehet használni ráütődő rendszert 29mm és a C3 mech.Szükséges választani FRAME verziót.</v>
      </c>
      <c r="N394">
        <f t="shared" si="20"/>
        <v>1</v>
      </c>
    </row>
    <row r="395" spans="1:14" x14ac:dyDescent="0.2">
      <c r="A395" s="255" t="str">
        <f>výpočty!$R$15</f>
        <v>Horizontális (balról jobbra)</v>
      </c>
      <c r="B395" s="256" t="str">
        <f>výpočty!$R$10</f>
        <v>Csigába</v>
      </c>
      <c r="C395" t="str">
        <f>výpočty!$R$7</f>
        <v>Ráütődő metallic-line vezetéssel 29mm és C3 mech.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A vezetésnél, hátra és a csigába ,nem lehet használni ráütődő rendszert 29mm és a C3 mech.Szükséges választani FRAME verziót.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A vezetésnél, hátra és a csigába ,nem lehet használni ráütődő rendszert 29mm és a C3 mech.Szükséges választani FRAME verziót.</v>
      </c>
      <c r="N395">
        <f t="shared" si="20"/>
        <v>1</v>
      </c>
    </row>
    <row r="396" spans="1:14" x14ac:dyDescent="0.2">
      <c r="A396" s="255" t="str">
        <f>výpočty!$R$15</f>
        <v>Horizontális (balról jobbra)</v>
      </c>
      <c r="B396" s="256" t="str">
        <f>výpočty!$R$10</f>
        <v>Csigába</v>
      </c>
      <c r="C396" t="str">
        <f>výpočty!$R$7</f>
        <v>Ráütődő metallic-line vezetéssel 29mm és C3 mech.</v>
      </c>
      <c r="D396" s="36" t="str">
        <f>výpočty!$W$14</f>
        <v>Hófehér Matt (E9)</v>
      </c>
      <c r="E396" t="s">
        <v>2131</v>
      </c>
      <c r="F396">
        <v>1</v>
      </c>
      <c r="G396" s="321" t="str">
        <f>Překlady!$A$142</f>
        <v>Az E9 profilnál a világos fehér kombinálható csak a Classic és a Top vezetésnél.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Az E9 profilnál a világos fehér kombinálható csak a Classic és a Top vezetésnél.</v>
      </c>
      <c r="N396">
        <f t="shared" si="20"/>
        <v>1</v>
      </c>
    </row>
    <row r="397" spans="1:14" x14ac:dyDescent="0.2">
      <c r="A397" s="255" t="str">
        <f>výpočty!$R$15</f>
        <v>Horizontális (balról jobbra)</v>
      </c>
      <c r="B397" s="256" t="str">
        <f>výpočty!$R$10</f>
        <v>Csigába</v>
      </c>
      <c r="C397" t="str">
        <f>výpočty!$R$7</f>
        <v>Ráütődő metallic-line vezetéssel 29mm és C3 mech.</v>
      </c>
      <c r="D397" s="36" t="str">
        <f>výpočty!$W$15</f>
        <v>Alumínium-műanyag (E4)</v>
      </c>
      <c r="E397" t="s">
        <v>2131</v>
      </c>
      <c r="F397">
        <v>1</v>
      </c>
      <c r="G397" s="321" t="str">
        <f>Překlady!$A$143</f>
        <v xml:space="preserve"> E4 profil az alumínium műanyag színes elkészítése, alkalmas a vízszintes vezetésre,kombinálva a Classic vezetéssel,hátra tekercseléssel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 xml:space="preserve"> E4 profil az alumínium műanyag színes elkészítése, alkalmas a vízszintes vezetésre,kombinálva a Classic vezetéssel,hátra tekercseléssel</v>
      </c>
      <c r="N397">
        <f t="shared" si="20"/>
        <v>1</v>
      </c>
    </row>
    <row r="398" spans="1:14" x14ac:dyDescent="0.2">
      <c r="A398" s="255" t="str">
        <f>výpočty!$R$15</f>
        <v>Horizontális (balról jobbra)</v>
      </c>
      <c r="B398" s="256" t="str">
        <f>výpočty!$R$10</f>
        <v>Csigába</v>
      </c>
      <c r="C398" t="str">
        <f>výpočty!$R$7</f>
        <v>Ráütődő metallic-line vezetéssel 29mm és C3 mech.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A vezetésnél, hátra és a csigába ,nem lehet használni ráütődő rendszert 29mm és a C3 mech.Szükséges választani FRAME verziót.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A vezetésnél, hátra és a csigába ,nem lehet használni ráütődő rendszert 29mm és a C3 mech.Szükséges választani FRAME verziót.</v>
      </c>
      <c r="N398">
        <f t="shared" si="20"/>
        <v>1</v>
      </c>
    </row>
    <row r="399" spans="1:14" x14ac:dyDescent="0.2">
      <c r="A399" s="255" t="str">
        <f>výpočty!$R$15</f>
        <v>Horizontális (balról jobbra)</v>
      </c>
      <c r="B399" s="256" t="str">
        <f>výpočty!$R$10</f>
        <v>Csigába</v>
      </c>
      <c r="C399" t="str">
        <f>výpočty!$R$7</f>
        <v>Ráütődő metallic-line vezetéssel 29mm és C3 mech.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A vezetésnél, hátra és a csigába ,nem lehet használni ráütődő rendszert 29mm és a C3 mech.Szükséges választani FRAME verziót.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A vezetésnél, hátra és a csigába ,nem lehet használni ráütődő rendszert 29mm és a C3 mech.Szükséges választani FRAME verziót.</v>
      </c>
      <c r="N399">
        <f t="shared" si="20"/>
        <v>1</v>
      </c>
    </row>
    <row r="400" spans="1:14" x14ac:dyDescent="0.2">
      <c r="A400" s="255" t="str">
        <f>výpočty!$R$15</f>
        <v>Horizontális (balról jobbra)</v>
      </c>
      <c r="B400" s="256" t="str">
        <f>výpočty!$R$10</f>
        <v>Csigába</v>
      </c>
      <c r="C400" t="str">
        <f>výpočty!$R$7</f>
        <v>Ráütődő metallic-line vezetéssel 29mm és C3 mech.</v>
      </c>
      <c r="D400" s="36" t="str">
        <f>výpočty!$W$19</f>
        <v>ALU szélesség 25 mm (metallic-line)</v>
      </c>
      <c r="E400" t="s">
        <v>2131</v>
      </c>
      <c r="F400">
        <v>1</v>
      </c>
      <c r="G400" s="321" t="str">
        <f>Překlady!$A$153</f>
        <v>A vezetésnél, hátra és a csigába ,nem lehet használni ráütődő rendszert 29mm és a C3 mech.Szükséges választani FRAME verziót.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A vezetésnél, hátra és a csigába ,nem lehet használni ráütődő rendszert 29mm és a C3 mech.Szükséges választani FRAME verziót.</v>
      </c>
      <c r="N400">
        <f t="shared" si="20"/>
        <v>1</v>
      </c>
    </row>
    <row r="401" spans="1:14" ht="13.5" thickBot="1" x14ac:dyDescent="0.25">
      <c r="A401" s="255" t="str">
        <f>výpočty!$R$15</f>
        <v>Horizontális (balról jobbra)</v>
      </c>
      <c r="B401" s="256" t="str">
        <f>výpočty!$R$10</f>
        <v>Csigába</v>
      </c>
      <c r="C401" t="str">
        <f>výpočty!$R$7</f>
        <v>Ráütődő metallic-line vezetéssel 29mm és C3 mech.</v>
      </c>
      <c r="D401" s="27" t="str">
        <f>výpočty!$W$20</f>
        <v>Nemes acél szélesség 25 mm (metallic-line)</v>
      </c>
      <c r="E401" t="s">
        <v>2131</v>
      </c>
      <c r="F401">
        <v>1</v>
      </c>
      <c r="G401" s="321" t="str">
        <f>Překlady!$A$153</f>
        <v>A vezetésnél, hátra és a csigába ,nem lehet használni ráütődő rendszert 29mm és a C3 mech.Szükséges választani FRAME verziót.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A vezetésnél, hátra és a csigába ,nem lehet használni ráütődő rendszert 29mm és a C3 mech.Szükséges választani FRAME verziót.</v>
      </c>
      <c r="N401">
        <f t="shared" si="20"/>
        <v>1</v>
      </c>
    </row>
    <row r="402" spans="1:14" x14ac:dyDescent="0.2">
      <c r="A402" s="255" t="str">
        <f>výpočty!$R$15</f>
        <v>Horizontális (balról jobbra)</v>
      </c>
      <c r="B402" t="str">
        <f>výpočty!$R$11</f>
        <v>C3 mechanikával</v>
      </c>
      <c r="C402" t="str">
        <f>výpočty!$R$3</f>
        <v>TOP basic-közézáródó vezetés csavarozásra műanyag</v>
      </c>
      <c r="D402" s="26" t="str">
        <f>výpočty!$W$3</f>
        <v>Fekete (E23)</v>
      </c>
      <c r="E402" t="s">
        <v>2131</v>
      </c>
      <c r="F402">
        <v>1</v>
      </c>
      <c r="G402" t="str">
        <f>Překlady!$A$154</f>
        <v>A vízszintes vezetésnél nem használható C3 mechanika.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A vízszintes vezetésnél nem használható C3 mechanika.</v>
      </c>
      <c r="N402">
        <f t="shared" si="20"/>
        <v>1</v>
      </c>
    </row>
    <row r="403" spans="1:14" x14ac:dyDescent="0.2">
      <c r="A403" s="255" t="str">
        <f>výpočty!$R$15</f>
        <v>Horizontális (balról jobbra)</v>
      </c>
      <c r="B403" t="str">
        <f>výpočty!$R$11</f>
        <v>C3 mechanikával</v>
      </c>
      <c r="C403" t="str">
        <f>výpočty!$R$3</f>
        <v>TOP basic-közézáródó vezetés csavarozásra műanyag</v>
      </c>
      <c r="D403" s="36" t="str">
        <f>výpočty!$W$4</f>
        <v>Fehér (E23)</v>
      </c>
      <c r="E403" t="s">
        <v>2131</v>
      </c>
      <c r="F403">
        <v>1</v>
      </c>
      <c r="G403" t="str">
        <f>Překlady!$A$154</f>
        <v>A vízszintes vezetésnél nem használható C3 mechanika.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A vízszintes vezetésnél nem használható C3 mechanika.</v>
      </c>
      <c r="N403">
        <f t="shared" si="20"/>
        <v>1</v>
      </c>
    </row>
    <row r="404" spans="1:14" x14ac:dyDescent="0.2">
      <c r="A404" s="255" t="str">
        <f>výpočty!$R$15</f>
        <v>Horizontális (balról jobbra)</v>
      </c>
      <c r="B404" t="str">
        <f>výpočty!$R$11</f>
        <v>C3 mechanikával</v>
      </c>
      <c r="C404" t="str">
        <f>výpočty!$R$3</f>
        <v>TOP basic-közézáródó vezetés csavarozásra műanyag</v>
      </c>
      <c r="D404" s="36" t="str">
        <f>výpočty!$W$5</f>
        <v>Szürke (E23)</v>
      </c>
      <c r="E404" t="s">
        <v>2131</v>
      </c>
      <c r="F404">
        <v>1</v>
      </c>
      <c r="G404" t="str">
        <f>Překlady!$A$154</f>
        <v>A vízszintes vezetésnél nem használható C3 mechanika.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A vízszintes vezetésnél nem használható C3 mechanika.</v>
      </c>
      <c r="N404">
        <f t="shared" si="20"/>
        <v>1</v>
      </c>
    </row>
    <row r="405" spans="1:14" x14ac:dyDescent="0.2">
      <c r="A405" s="255" t="str">
        <f>výpočty!$R$15</f>
        <v>Horizontális (balról jobbra)</v>
      </c>
      <c r="B405" t="str">
        <f>výpočty!$R$11</f>
        <v>C3 mechanikával</v>
      </c>
      <c r="C405" t="str">
        <f>výpočty!$R$3</f>
        <v>TOP basic-közézáródó vezetés csavarozásra műanyag</v>
      </c>
      <c r="D405" s="36" t="str">
        <f>výpočty!$W$6</f>
        <v>Alumínium-műanyag (E23)</v>
      </c>
      <c r="E405" t="s">
        <v>2131</v>
      </c>
      <c r="F405">
        <v>1</v>
      </c>
      <c r="G405" t="str">
        <f>Překlady!$A$154</f>
        <v>A vízszintes vezetésnél nem használható C3 mechanika.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A vízszintes vezetésnél nem használható C3 mechanika.</v>
      </c>
      <c r="N405">
        <f t="shared" si="20"/>
        <v>1</v>
      </c>
    </row>
    <row r="406" spans="1:14" x14ac:dyDescent="0.2">
      <c r="A406" s="255" t="str">
        <f>výpočty!$R$15</f>
        <v>Horizontális (balról jobbra)</v>
      </c>
      <c r="B406" t="str">
        <f>výpočty!$R$11</f>
        <v>C3 mechanikával</v>
      </c>
      <c r="C406" t="str">
        <f>výpočty!$R$3</f>
        <v>TOP basic-közézáródó vezetés csavarozásra műanyag</v>
      </c>
      <c r="D406" s="36" t="str">
        <f>výpočty!$W$7</f>
        <v>Bükk (E23)</v>
      </c>
      <c r="E406" t="s">
        <v>2131</v>
      </c>
      <c r="F406">
        <v>1</v>
      </c>
      <c r="G406" t="str">
        <f>Překlady!$A$154</f>
        <v>A vízszintes vezetésnél nem használható C3 mechanika.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A vízszintes vezetésnél nem használható C3 mechanika.</v>
      </c>
      <c r="N406">
        <f t="shared" si="20"/>
        <v>1</v>
      </c>
    </row>
    <row r="407" spans="1:14" x14ac:dyDescent="0.2">
      <c r="A407" s="255" t="str">
        <f>výpočty!$R$15</f>
        <v>Horizontális (balról jobbra)</v>
      </c>
      <c r="B407" t="str">
        <f>výpočty!$R$11</f>
        <v>C3 mechanikával</v>
      </c>
      <c r="C407" t="str">
        <f>výpočty!$R$3</f>
        <v>TOP basic-közézáródó vezetés csavarozásra műanyag</v>
      </c>
      <c r="D407" s="36" t="str">
        <f>výpočty!$W$8</f>
        <v>Cseresznye (E23)</v>
      </c>
      <c r="E407" t="s">
        <v>2131</v>
      </c>
      <c r="F407">
        <v>1</v>
      </c>
      <c r="G407" t="str">
        <f>Překlady!$A$154</f>
        <v>A vízszintes vezetésnél nem használható C3 mechanika.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A vízszintes vezetésnél nem használható C3 mechanika.</v>
      </c>
      <c r="N407">
        <f t="shared" si="20"/>
        <v>1</v>
      </c>
    </row>
    <row r="408" spans="1:14" x14ac:dyDescent="0.2">
      <c r="A408" s="255" t="str">
        <f>výpočty!$R$15</f>
        <v>Horizontális (balról jobbra)</v>
      </c>
      <c r="B408" t="str">
        <f>výpočty!$R$11</f>
        <v>C3 mechanikával</v>
      </c>
      <c r="C408" t="str">
        <f>výpočty!$R$3</f>
        <v>TOP basic-közézáródó vezetés csavarozásra műanyag</v>
      </c>
      <c r="D408" s="36" t="str">
        <f>výpočty!$W$9</f>
        <v>Jávor (E23)</v>
      </c>
      <c r="E408" t="s">
        <v>2131</v>
      </c>
      <c r="F408">
        <v>1</v>
      </c>
      <c r="G408" t="str">
        <f>Překlady!$A$154</f>
        <v>A vízszintes vezetésnél nem használható C3 mechanika.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A vízszintes vezetésnél nem használható C3 mechanika.</v>
      </c>
      <c r="N408">
        <f t="shared" si="20"/>
        <v>1</v>
      </c>
    </row>
    <row r="409" spans="1:14" x14ac:dyDescent="0.2">
      <c r="A409" s="255" t="str">
        <f>výpočty!$R$15</f>
        <v>Horizontális (balról jobbra)</v>
      </c>
      <c r="B409" t="str">
        <f>výpočty!$R$11</f>
        <v>C3 mechanikával</v>
      </c>
      <c r="C409" t="str">
        <f>výpočty!$R$3</f>
        <v>TOP basic-közézáródó vezetés csavarozásra műanyag</v>
      </c>
      <c r="D409" s="36" t="str">
        <f>výpočty!$W$10</f>
        <v>Nyír (E23)</v>
      </c>
      <c r="E409" t="s">
        <v>2131</v>
      </c>
      <c r="F409">
        <v>1</v>
      </c>
      <c r="G409" t="str">
        <f>Překlady!$A$154</f>
        <v>A vízszintes vezetésnél nem használható C3 mechanika.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A vízszintes vezetésnél nem használható C3 mechanika.</v>
      </c>
      <c r="N409">
        <f t="shared" si="20"/>
        <v>1</v>
      </c>
    </row>
    <row r="410" spans="1:14" x14ac:dyDescent="0.2">
      <c r="A410" s="255" t="str">
        <f>výpočty!$R$15</f>
        <v>Horizontális (balról jobbra)</v>
      </c>
      <c r="B410" t="str">
        <f>výpočty!$R$11</f>
        <v>C3 mechanikával</v>
      </c>
      <c r="C410" t="str">
        <f>výpočty!$R$3</f>
        <v>TOP basic-közézáródó vezetés csavarozásra műanyag</v>
      </c>
      <c r="D410" s="36" t="str">
        <f>výpočty!$W$11</f>
        <v>Cseresznye havana (E23)</v>
      </c>
      <c r="E410" t="s">
        <v>2131</v>
      </c>
      <c r="F410">
        <v>1</v>
      </c>
      <c r="G410" t="str">
        <f>Překlady!$A$154</f>
        <v>A vízszintes vezetésnél nem használható C3 mechanika.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A vízszintes vezetésnél nem használható C3 mechanika.</v>
      </c>
      <c r="N410">
        <f t="shared" si="20"/>
        <v>1</v>
      </c>
    </row>
    <row r="411" spans="1:14" x14ac:dyDescent="0.2">
      <c r="A411" s="255" t="str">
        <f>výpočty!$R$15</f>
        <v>Horizontális (balról jobbra)</v>
      </c>
      <c r="B411" t="str">
        <f>výpočty!$R$11</f>
        <v>C3 mechanikával</v>
      </c>
      <c r="C411" t="str">
        <f>výpočty!$R$3</f>
        <v>TOP basic-közézáródó vezetés csavarozásra műanyag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A vízszintes vezetésnél nem használható C3 mechanika.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A vízszintes vezetésnél nem használható C3 mechanika.</v>
      </c>
      <c r="N411">
        <f t="shared" si="20"/>
        <v>1</v>
      </c>
    </row>
    <row r="412" spans="1:14" x14ac:dyDescent="0.2">
      <c r="A412" s="255" t="str">
        <f>výpočty!$R$15</f>
        <v>Horizontális (balról jobbra)</v>
      </c>
      <c r="B412" t="str">
        <f>výpočty!$R$11</f>
        <v>C3 mechanikával</v>
      </c>
      <c r="C412" t="str">
        <f>výpočty!$R$3</f>
        <v>TOP basic-közézáródó vezetés csavarozásra műanyag</v>
      </c>
      <c r="D412" s="36" t="str">
        <f>výpočty!$W$14</f>
        <v>Hófehér Matt (E9)</v>
      </c>
      <c r="E412" t="s">
        <v>2131</v>
      </c>
      <c r="F412">
        <v>1</v>
      </c>
      <c r="G412" t="str">
        <f>Překlady!$A$154</f>
        <v>A vízszintes vezetésnél nem használható C3 mechanika.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A vízszintes vezetésnél nem használható C3 mechanika.</v>
      </c>
      <c r="N412">
        <f t="shared" si="20"/>
        <v>1</v>
      </c>
    </row>
    <row r="413" spans="1:14" x14ac:dyDescent="0.2">
      <c r="A413" s="255" t="str">
        <f>výpočty!$R$15</f>
        <v>Horizontális (balról jobbra)</v>
      </c>
      <c r="B413" t="str">
        <f>výpočty!$R$11</f>
        <v>C3 mechanikával</v>
      </c>
      <c r="C413" t="str">
        <f>výpočty!$R$3</f>
        <v>TOP basic-közézáródó vezetés csavarozásra műanyag</v>
      </c>
      <c r="D413" s="36" t="str">
        <f>výpočty!$W$15</f>
        <v>Alumínium-műanyag (E4)</v>
      </c>
      <c r="E413" t="s">
        <v>2131</v>
      </c>
      <c r="F413">
        <v>1</v>
      </c>
      <c r="G413" s="321" t="str">
        <f>Překlady!$A$143</f>
        <v xml:space="preserve"> E4 profil az alumínium műanyag színes elkészítése, alkalmas a vízszintes vezetésre,kombinálva a Classic vezetéssel,hátra tekercseléssel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 xml:space="preserve"> E4 profil az alumínium műanyag színes elkészítése, alkalmas a vízszintes vezetésre,kombinálva a Classic vezetéssel,hátra tekercseléssel</v>
      </c>
      <c r="N413">
        <f t="shared" si="20"/>
        <v>1</v>
      </c>
    </row>
    <row r="414" spans="1:14" x14ac:dyDescent="0.2">
      <c r="A414" s="255" t="str">
        <f>výpočty!$R$15</f>
        <v>Horizontális (balról jobbra)</v>
      </c>
      <c r="B414" t="str">
        <f>výpočty!$R$11</f>
        <v>C3 mechanikával</v>
      </c>
      <c r="C414" t="str">
        <f>výpočty!$R$3</f>
        <v>TOP basic-közézáródó vezetés csavarozásra műanyag</v>
      </c>
      <c r="D414" s="36">
        <f>výpočty!$W$17</f>
        <v>0</v>
      </c>
      <c r="E414" t="s">
        <v>2131</v>
      </c>
      <c r="F414">
        <v>1</v>
      </c>
      <c r="G414" t="str">
        <f>Překlady!$A$154</f>
        <v>A vízszintes vezetésnél nem használható C3 mechanika.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A vízszintes vezetésnél nem használható C3 mechanika.</v>
      </c>
      <c r="N414">
        <f t="shared" si="20"/>
        <v>1</v>
      </c>
    </row>
    <row r="415" spans="1:14" x14ac:dyDescent="0.2">
      <c r="A415" s="255" t="str">
        <f>výpočty!$R$15</f>
        <v>Horizontális (balról jobbra)</v>
      </c>
      <c r="B415" t="str">
        <f>výpočty!$R$11</f>
        <v>C3 mechanikával</v>
      </c>
      <c r="C415" t="str">
        <f>výpočty!$R$3</f>
        <v>TOP basic-közézáródó vezetés csavarozásra műanyag</v>
      </c>
      <c r="D415" s="36">
        <f>výpočty!$W$18</f>
        <v>0</v>
      </c>
      <c r="E415" t="s">
        <v>2131</v>
      </c>
      <c r="F415">
        <v>1</v>
      </c>
      <c r="G415" t="str">
        <f>Překlady!$A$154</f>
        <v>A vízszintes vezetésnél nem használható C3 mechanika.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A vízszintes vezetésnél nem használható C3 mechanika.</v>
      </c>
      <c r="N415">
        <f t="shared" si="20"/>
        <v>1</v>
      </c>
    </row>
    <row r="416" spans="1:14" x14ac:dyDescent="0.2">
      <c r="A416" s="255" t="str">
        <f>výpočty!$R$15</f>
        <v>Horizontális (balról jobbra)</v>
      </c>
      <c r="B416" t="str">
        <f>výpočty!$R$11</f>
        <v>C3 mechanikával</v>
      </c>
      <c r="C416" t="str">
        <f>výpočty!$R$3</f>
        <v>TOP basic-közézáródó vezetés csavarozásra műanyag</v>
      </c>
      <c r="D416" s="36" t="str">
        <f>výpočty!$W$19</f>
        <v>ALU szélesség 25 mm (metallic-line)</v>
      </c>
      <c r="E416" t="s">
        <v>2131</v>
      </c>
      <c r="F416">
        <v>1</v>
      </c>
      <c r="G416" t="str">
        <f>Překlady!$A$154</f>
        <v>A vízszintes vezetésnél nem használható C3 mechanika.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A vízszintes vezetésnél nem használható C3 mechanika.</v>
      </c>
      <c r="N416">
        <f t="shared" si="20"/>
        <v>1</v>
      </c>
    </row>
    <row r="417" spans="1:14" ht="13.5" thickBot="1" x14ac:dyDescent="0.25">
      <c r="A417" s="255" t="str">
        <f>výpočty!$R$15</f>
        <v>Horizontális (balról jobbra)</v>
      </c>
      <c r="B417" t="str">
        <f>výpočty!$R$11</f>
        <v>C3 mechanikával</v>
      </c>
      <c r="C417" t="str">
        <f>výpočty!$R$3</f>
        <v>TOP basic-közézáródó vezetés csavarozásra műanyag</v>
      </c>
      <c r="D417" s="27" t="str">
        <f>výpočty!$W$20</f>
        <v>Nemes acél szélesség 25 mm (metallic-line)</v>
      </c>
      <c r="E417" t="s">
        <v>2131</v>
      </c>
      <c r="F417">
        <v>1</v>
      </c>
      <c r="G417" t="str">
        <f>Překlady!$A$154</f>
        <v>A vízszintes vezetésnél nem használható C3 mechanika.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A vízszintes vezetésnél nem használható C3 mechanika.</v>
      </c>
      <c r="N417">
        <f t="shared" si="20"/>
        <v>1</v>
      </c>
    </row>
    <row r="418" spans="1:14" x14ac:dyDescent="0.2">
      <c r="A418" s="255" t="str">
        <f>výpočty!$R$15</f>
        <v>Horizontális (balról jobbra)</v>
      </c>
      <c r="B418" t="str">
        <f>výpočty!$R$11</f>
        <v>C3 mechanikával</v>
      </c>
      <c r="C418" t="str">
        <f>výpočty!$R$4</f>
        <v>Classic - közézáródó vezetés bemarásra</v>
      </c>
      <c r="D418" s="26" t="str">
        <f>výpočty!$W$3</f>
        <v>Fekete (E23)</v>
      </c>
      <c r="E418" t="s">
        <v>2131</v>
      </c>
      <c r="F418">
        <v>1</v>
      </c>
      <c r="G418" t="str">
        <f>Překlady!$A$154</f>
        <v>A vízszintes vezetésnél nem használható C3 mechanika.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A vízszintes vezetésnél nem használható C3 mechanika.</v>
      </c>
      <c r="N418">
        <f t="shared" si="20"/>
        <v>1</v>
      </c>
    </row>
    <row r="419" spans="1:14" x14ac:dyDescent="0.2">
      <c r="A419" s="255" t="str">
        <f>výpočty!$R$15</f>
        <v>Horizontális (balról jobbra)</v>
      </c>
      <c r="B419" t="str">
        <f>výpočty!$R$11</f>
        <v>C3 mechanikával</v>
      </c>
      <c r="C419" t="str">
        <f>výpočty!$R$4</f>
        <v>Classic - közézáródó vezetés bemarásra</v>
      </c>
      <c r="D419" s="36" t="str">
        <f>výpočty!$W$4</f>
        <v>Fehér (E23)</v>
      </c>
      <c r="E419" t="s">
        <v>2131</v>
      </c>
      <c r="F419">
        <v>1</v>
      </c>
      <c r="G419" t="str">
        <f>Překlady!$A$154</f>
        <v>A vízszintes vezetésnél nem használható C3 mechanika.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A vízszintes vezetésnél nem használható C3 mechanika.</v>
      </c>
      <c r="N419">
        <f t="shared" si="20"/>
        <v>1</v>
      </c>
    </row>
    <row r="420" spans="1:14" x14ac:dyDescent="0.2">
      <c r="A420" s="255" t="str">
        <f>výpočty!$R$15</f>
        <v>Horizontális (balról jobbra)</v>
      </c>
      <c r="B420" t="str">
        <f>výpočty!$R$11</f>
        <v>C3 mechanikával</v>
      </c>
      <c r="C420" t="str">
        <f>výpočty!$R$4</f>
        <v>Classic - közézáródó vezetés bemarásra</v>
      </c>
      <c r="D420" s="36" t="str">
        <f>výpočty!$W$5</f>
        <v>Szürke (E23)</v>
      </c>
      <c r="E420" t="s">
        <v>2131</v>
      </c>
      <c r="F420">
        <v>1</v>
      </c>
      <c r="G420" t="str">
        <f>Překlady!$A$154</f>
        <v>A vízszintes vezetésnél nem használható C3 mechanika.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A vízszintes vezetésnél nem használható C3 mechanika.</v>
      </c>
      <c r="N420">
        <f t="shared" si="20"/>
        <v>1</v>
      </c>
    </row>
    <row r="421" spans="1:14" x14ac:dyDescent="0.2">
      <c r="A421" s="255" t="str">
        <f>výpočty!$R$15</f>
        <v>Horizontális (balról jobbra)</v>
      </c>
      <c r="B421" t="str">
        <f>výpočty!$R$11</f>
        <v>C3 mechanikával</v>
      </c>
      <c r="C421" t="str">
        <f>výpočty!$R$4</f>
        <v>Classic - közézáródó vezetés bemarásra</v>
      </c>
      <c r="D421" s="36" t="str">
        <f>výpočty!$W$6</f>
        <v>Alumínium-műanyag (E23)</v>
      </c>
      <c r="E421" t="s">
        <v>2131</v>
      </c>
      <c r="F421">
        <v>1</v>
      </c>
      <c r="G421" t="str">
        <f>Překlady!$A$154</f>
        <v>A vízszintes vezetésnél nem használható C3 mechanika.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A vízszintes vezetésnél nem használható C3 mechanika.</v>
      </c>
      <c r="N421">
        <f t="shared" si="20"/>
        <v>1</v>
      </c>
    </row>
    <row r="422" spans="1:14" x14ac:dyDescent="0.2">
      <c r="A422" s="255" t="str">
        <f>výpočty!$R$15</f>
        <v>Horizontális (balról jobbra)</v>
      </c>
      <c r="B422" t="str">
        <f>výpočty!$R$11</f>
        <v>C3 mechanikával</v>
      </c>
      <c r="C422" t="str">
        <f>výpočty!$R$4</f>
        <v>Classic - közézáródó vezetés bemarásra</v>
      </c>
      <c r="D422" s="36" t="str">
        <f>výpočty!$W$7</f>
        <v>Bükk (E23)</v>
      </c>
      <c r="E422" t="s">
        <v>2131</v>
      </c>
      <c r="F422">
        <v>1</v>
      </c>
      <c r="G422" t="str">
        <f>Překlady!$A$154</f>
        <v>A vízszintes vezetésnél nem használható C3 mechanika.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A vízszintes vezetésnél nem használható C3 mechanika.</v>
      </c>
      <c r="N422">
        <f t="shared" si="20"/>
        <v>1</v>
      </c>
    </row>
    <row r="423" spans="1:14" x14ac:dyDescent="0.2">
      <c r="A423" s="255" t="str">
        <f>výpočty!$R$15</f>
        <v>Horizontális (balról jobbra)</v>
      </c>
      <c r="B423" t="str">
        <f>výpočty!$R$11</f>
        <v>C3 mechanikával</v>
      </c>
      <c r="C423" t="str">
        <f>výpočty!$R$4</f>
        <v>Classic - közézáródó vezetés bemarásra</v>
      </c>
      <c r="D423" s="36" t="str">
        <f>výpočty!$W$8</f>
        <v>Cseresznye (E23)</v>
      </c>
      <c r="E423" t="s">
        <v>2131</v>
      </c>
      <c r="F423">
        <v>1</v>
      </c>
      <c r="G423" t="str">
        <f>Překlady!$A$154</f>
        <v>A vízszintes vezetésnél nem használható C3 mechanika.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A vízszintes vezetésnél nem használható C3 mechanika.</v>
      </c>
      <c r="N423">
        <f t="shared" si="20"/>
        <v>1</v>
      </c>
    </row>
    <row r="424" spans="1:14" x14ac:dyDescent="0.2">
      <c r="A424" s="255" t="str">
        <f>výpočty!$R$15</f>
        <v>Horizontális (balról jobbra)</v>
      </c>
      <c r="B424" t="str">
        <f>výpočty!$R$11</f>
        <v>C3 mechanikával</v>
      </c>
      <c r="C424" t="str">
        <f>výpočty!$R$4</f>
        <v>Classic - közézáródó vezetés bemarásra</v>
      </c>
      <c r="D424" s="36" t="str">
        <f>výpočty!$W$9</f>
        <v>Jávor (E23)</v>
      </c>
      <c r="E424" t="s">
        <v>2131</v>
      </c>
      <c r="F424">
        <v>1</v>
      </c>
      <c r="G424" t="str">
        <f>Překlady!$A$154</f>
        <v>A vízszintes vezetésnél nem használható C3 mechanika.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A vízszintes vezetésnél nem használható C3 mechanika.</v>
      </c>
      <c r="N424">
        <f t="shared" si="20"/>
        <v>1</v>
      </c>
    </row>
    <row r="425" spans="1:14" x14ac:dyDescent="0.2">
      <c r="A425" s="255" t="str">
        <f>výpočty!$R$15</f>
        <v>Horizontális (balról jobbra)</v>
      </c>
      <c r="B425" t="str">
        <f>výpočty!$R$11</f>
        <v>C3 mechanikával</v>
      </c>
      <c r="C425" t="str">
        <f>výpočty!$R$4</f>
        <v>Classic - közézáródó vezetés bemarásra</v>
      </c>
      <c r="D425" s="36" t="str">
        <f>výpočty!$W$10</f>
        <v>Nyír (E23)</v>
      </c>
      <c r="E425" t="s">
        <v>2131</v>
      </c>
      <c r="F425">
        <v>1</v>
      </c>
      <c r="G425" t="str">
        <f>Překlady!$A$154</f>
        <v>A vízszintes vezetésnél nem használható C3 mechanika.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A vízszintes vezetésnél nem használható C3 mechanika.</v>
      </c>
      <c r="N425">
        <f t="shared" si="20"/>
        <v>1</v>
      </c>
    </row>
    <row r="426" spans="1:14" x14ac:dyDescent="0.2">
      <c r="A426" s="255" t="str">
        <f>výpočty!$R$15</f>
        <v>Horizontális (balról jobbra)</v>
      </c>
      <c r="B426" t="str">
        <f>výpočty!$R$11</f>
        <v>C3 mechanikával</v>
      </c>
      <c r="C426" t="str">
        <f>výpočty!$R$4</f>
        <v>Classic - közézáródó vezetés bemarásra</v>
      </c>
      <c r="D426" s="36" t="str">
        <f>výpočty!$W$11</f>
        <v>Cseresznye havana (E23)</v>
      </c>
      <c r="E426" t="s">
        <v>2131</v>
      </c>
      <c r="F426">
        <v>1</v>
      </c>
      <c r="G426" t="str">
        <f>Překlady!$A$154</f>
        <v>A vízszintes vezetésnél nem használható C3 mechanika.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A vízszintes vezetésnél nem használható C3 mechanika.</v>
      </c>
      <c r="N426">
        <f t="shared" si="20"/>
        <v>1</v>
      </c>
    </row>
    <row r="427" spans="1:14" x14ac:dyDescent="0.2">
      <c r="A427" s="255" t="str">
        <f>výpočty!$R$15</f>
        <v>Horizontális (balról jobbra)</v>
      </c>
      <c r="B427" t="str">
        <f>výpočty!$R$11</f>
        <v>C3 mechanikával</v>
      </c>
      <c r="C427" t="str">
        <f>výpočty!$R$4</f>
        <v>Classic - közézáródó vezetés bemarásra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A vízszintes vezetésnél nem használható C3 mechanika.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A vízszintes vezetésnél nem használható C3 mechanika.</v>
      </c>
      <c r="N427">
        <f t="shared" si="20"/>
        <v>1</v>
      </c>
    </row>
    <row r="428" spans="1:14" x14ac:dyDescent="0.2">
      <c r="A428" s="255" t="str">
        <f>výpočty!$R$15</f>
        <v>Horizontális (balról jobbra)</v>
      </c>
      <c r="B428" t="str">
        <f>výpočty!$R$11</f>
        <v>C3 mechanikával</v>
      </c>
      <c r="C428" t="str">
        <f>výpočty!$R$4</f>
        <v>Classic - közézáródó vezetés bemarásra</v>
      </c>
      <c r="D428" s="36" t="str">
        <f>výpočty!$W$14</f>
        <v>Hófehér Matt (E9)</v>
      </c>
      <c r="E428" t="s">
        <v>2131</v>
      </c>
      <c r="F428">
        <v>1</v>
      </c>
      <c r="G428" t="str">
        <f>Překlady!$A$154</f>
        <v>A vízszintes vezetésnél nem használható C3 mechanika.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A vízszintes vezetésnél nem használható C3 mechanika.</v>
      </c>
      <c r="N428">
        <f t="shared" si="20"/>
        <v>1</v>
      </c>
    </row>
    <row r="429" spans="1:14" x14ac:dyDescent="0.2">
      <c r="A429" s="255" t="str">
        <f>výpočty!$R$15</f>
        <v>Horizontális (balról jobbra)</v>
      </c>
      <c r="B429" t="str">
        <f>výpočty!$R$11</f>
        <v>C3 mechanikával</v>
      </c>
      <c r="C429" t="str">
        <f>výpočty!$R$4</f>
        <v>Classic - közézáródó vezetés bemarásra</v>
      </c>
      <c r="D429" s="36" t="str">
        <f>výpočty!$W$15</f>
        <v>Alumínium-műanyag (E4)</v>
      </c>
      <c r="E429" t="s">
        <v>2131</v>
      </c>
      <c r="F429">
        <v>1</v>
      </c>
      <c r="G429" s="321" t="str">
        <f>Překlady!$A$143</f>
        <v xml:space="preserve"> E4 profil az alumínium műanyag színes elkészítése, alkalmas a vízszintes vezetésre,kombinálva a Classic vezetéssel,hátra tekercseléssel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 xml:space="preserve"> E4 profil az alumínium műanyag színes elkészítése, alkalmas a vízszintes vezetésre,kombinálva a Classic vezetéssel,hátra tekercseléssel</v>
      </c>
      <c r="N429">
        <f t="shared" si="20"/>
        <v>1</v>
      </c>
    </row>
    <row r="430" spans="1:14" x14ac:dyDescent="0.2">
      <c r="A430" s="255" t="str">
        <f>výpočty!$R$15</f>
        <v>Horizontális (balról jobbra)</v>
      </c>
      <c r="B430" t="str">
        <f>výpočty!$R$11</f>
        <v>C3 mechanikával</v>
      </c>
      <c r="C430" t="str">
        <f>výpočty!$R$4</f>
        <v>Classic - közézáródó vezetés bemarásra</v>
      </c>
      <c r="D430" s="36">
        <f>výpočty!$W$17</f>
        <v>0</v>
      </c>
      <c r="E430" t="s">
        <v>2131</v>
      </c>
      <c r="F430">
        <v>1</v>
      </c>
      <c r="G430" t="str">
        <f>Překlady!$A$154</f>
        <v>A vízszintes vezetésnél nem használható C3 mechanika.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A vízszintes vezetésnél nem használható C3 mechanika.</v>
      </c>
      <c r="N430">
        <f t="shared" si="20"/>
        <v>1</v>
      </c>
    </row>
    <row r="431" spans="1:14" x14ac:dyDescent="0.2">
      <c r="A431" s="255" t="str">
        <f>výpočty!$R$15</f>
        <v>Horizontális (balról jobbra)</v>
      </c>
      <c r="B431" t="str">
        <f>výpočty!$R$11</f>
        <v>C3 mechanikával</v>
      </c>
      <c r="C431" t="str">
        <f>výpočty!$R$4</f>
        <v>Classic - közézáródó vezetés bemarásra</v>
      </c>
      <c r="D431" s="36">
        <f>výpočty!$W$18</f>
        <v>0</v>
      </c>
      <c r="E431" t="s">
        <v>2131</v>
      </c>
      <c r="F431">
        <v>1</v>
      </c>
      <c r="G431" t="str">
        <f>Překlady!$A$154</f>
        <v>A vízszintes vezetésnél nem használható C3 mechanika.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A vízszintes vezetésnél nem használható C3 mechanika.</v>
      </c>
      <c r="N431">
        <f t="shared" si="20"/>
        <v>1</v>
      </c>
    </row>
    <row r="432" spans="1:14" x14ac:dyDescent="0.2">
      <c r="A432" s="255" t="str">
        <f>výpočty!$R$15</f>
        <v>Horizontális (balról jobbra)</v>
      </c>
      <c r="B432" t="str">
        <f>výpočty!$R$11</f>
        <v>C3 mechanikával</v>
      </c>
      <c r="C432" t="str">
        <f>výpočty!$R$4</f>
        <v>Classic - közézáródó vezetés bemarásra</v>
      </c>
      <c r="D432" s="36" t="str">
        <f>výpočty!$W$19</f>
        <v>ALU szélesség 25 mm (metallic-line)</v>
      </c>
      <c r="E432" t="s">
        <v>2131</v>
      </c>
      <c r="F432">
        <v>1</v>
      </c>
      <c r="G432" t="str">
        <f>Překlady!$A$154</f>
        <v>A vízszintes vezetésnél nem használható C3 mechanika.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A vízszintes vezetésnél nem használható C3 mechanika.</v>
      </c>
      <c r="N432">
        <f t="shared" si="20"/>
        <v>1</v>
      </c>
    </row>
    <row r="433" spans="1:14" ht="13.5" thickBot="1" x14ac:dyDescent="0.25">
      <c r="A433" s="255" t="str">
        <f>výpočty!$R$15</f>
        <v>Horizontális (balról jobbra)</v>
      </c>
      <c r="B433" t="str">
        <f>výpočty!$R$11</f>
        <v>C3 mechanikával</v>
      </c>
      <c r="C433" t="str">
        <f>výpočty!$R$4</f>
        <v>Classic - közézáródó vezetés bemarásra</v>
      </c>
      <c r="D433" s="27" t="str">
        <f>výpočty!$W$20</f>
        <v>Nemes acél szélesség 25 mm (metallic-line)</v>
      </c>
      <c r="E433" t="s">
        <v>2131</v>
      </c>
      <c r="F433">
        <v>1</v>
      </c>
      <c r="G433" t="str">
        <f>Překlady!$A$154</f>
        <v>A vízszintes vezetésnél nem használható C3 mechanika.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A vízszintes vezetésnél nem használható C3 mechanika.</v>
      </c>
      <c r="N433">
        <f t="shared" si="20"/>
        <v>1</v>
      </c>
    </row>
    <row r="434" spans="1:14" x14ac:dyDescent="0.2">
      <c r="A434" s="255" t="str">
        <f>výpočty!$R$15</f>
        <v>Horizontális (balról jobbra)</v>
      </c>
      <c r="B434" t="str">
        <f>výpočty!$R$11</f>
        <v>C3 mechanikával</v>
      </c>
      <c r="C434" t="str">
        <f>výpočty!$R$5</f>
        <v xml:space="preserve">Frame - ráütődő takaró léces vezetéssel </v>
      </c>
      <c r="D434" s="26" t="str">
        <f>výpočty!$W$3</f>
        <v>Fekete (E23)</v>
      </c>
      <c r="E434" t="s">
        <v>2131</v>
      </c>
      <c r="F434">
        <v>1</v>
      </c>
      <c r="G434" t="str">
        <f>Překlady!$A$154</f>
        <v>A vízszintes vezetésnél nem használható C3 mechanika.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A vízszintes vezetésnél nem használható C3 mechanika.</v>
      </c>
      <c r="N434">
        <f t="shared" si="20"/>
        <v>1</v>
      </c>
    </row>
    <row r="435" spans="1:14" x14ac:dyDescent="0.2">
      <c r="A435" s="255" t="str">
        <f>výpočty!$R$15</f>
        <v>Horizontális (balról jobbra)</v>
      </c>
      <c r="B435" t="str">
        <f>výpočty!$R$11</f>
        <v>C3 mechanikával</v>
      </c>
      <c r="C435" t="str">
        <f>výpočty!$R$5</f>
        <v xml:space="preserve">Frame - ráütődő takaró léces vezetéssel </v>
      </c>
      <c r="D435" s="36" t="str">
        <f>výpočty!$W$4</f>
        <v>Fehér (E23)</v>
      </c>
      <c r="E435" t="s">
        <v>2131</v>
      </c>
      <c r="F435">
        <v>1</v>
      </c>
      <c r="G435" t="str">
        <f>Překlady!$A$154</f>
        <v>A vízszintes vezetésnél nem használható C3 mechanika.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A vízszintes vezetésnél nem használható C3 mechanika.</v>
      </c>
      <c r="N435">
        <f t="shared" si="20"/>
        <v>1</v>
      </c>
    </row>
    <row r="436" spans="1:14" x14ac:dyDescent="0.2">
      <c r="A436" s="255" t="str">
        <f>výpočty!$R$15</f>
        <v>Horizontális (balról jobbra)</v>
      </c>
      <c r="B436" t="str">
        <f>výpočty!$R$11</f>
        <v>C3 mechanikával</v>
      </c>
      <c r="C436" t="str">
        <f>výpočty!$R$5</f>
        <v xml:space="preserve">Frame - ráütődő takaró léces vezetéssel </v>
      </c>
      <c r="D436" s="36" t="str">
        <f>výpočty!$W$5</f>
        <v>Szürke (E23)</v>
      </c>
      <c r="E436" t="s">
        <v>2131</v>
      </c>
      <c r="F436">
        <v>1</v>
      </c>
      <c r="G436" t="str">
        <f>Překlady!$A$154</f>
        <v>A vízszintes vezetésnél nem használható C3 mechanika.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A vízszintes vezetésnél nem használható C3 mechanika.</v>
      </c>
      <c r="N436">
        <f t="shared" si="20"/>
        <v>1</v>
      </c>
    </row>
    <row r="437" spans="1:14" x14ac:dyDescent="0.2">
      <c r="A437" s="255" t="str">
        <f>výpočty!$R$15</f>
        <v>Horizontális (balról jobbra)</v>
      </c>
      <c r="B437" t="str">
        <f>výpočty!$R$11</f>
        <v>C3 mechanikával</v>
      </c>
      <c r="C437" t="str">
        <f>výpočty!$R$5</f>
        <v xml:space="preserve">Frame - ráütődő takaró léces vezetéssel </v>
      </c>
      <c r="D437" s="36" t="str">
        <f>výpočty!$W$6</f>
        <v>Alumínium-műanyag (E23)</v>
      </c>
      <c r="E437" t="s">
        <v>2131</v>
      </c>
      <c r="F437">
        <v>1</v>
      </c>
      <c r="G437" t="str">
        <f>Překlady!$A$154</f>
        <v>A vízszintes vezetésnél nem használható C3 mechanika.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A vízszintes vezetésnél nem használható C3 mechanika.</v>
      </c>
      <c r="N437">
        <f t="shared" si="20"/>
        <v>1</v>
      </c>
    </row>
    <row r="438" spans="1:14" x14ac:dyDescent="0.2">
      <c r="A438" s="255" t="str">
        <f>výpočty!$R$15</f>
        <v>Horizontális (balról jobbra)</v>
      </c>
      <c r="B438" t="str">
        <f>výpočty!$R$11</f>
        <v>C3 mechanikával</v>
      </c>
      <c r="C438" t="str">
        <f>výpočty!$R$5</f>
        <v xml:space="preserve">Frame - ráütődő takaró léces vezetéssel </v>
      </c>
      <c r="D438" s="36" t="str">
        <f>výpočty!$W$7</f>
        <v>Bükk (E23)</v>
      </c>
      <c r="E438" t="s">
        <v>2131</v>
      </c>
      <c r="F438">
        <v>1</v>
      </c>
      <c r="G438" t="str">
        <f>Překlady!$A$154</f>
        <v>A vízszintes vezetésnél nem használható C3 mechanika.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A vízszintes vezetésnél nem használható C3 mechanika.</v>
      </c>
      <c r="N438">
        <f t="shared" si="20"/>
        <v>1</v>
      </c>
    </row>
    <row r="439" spans="1:14" x14ac:dyDescent="0.2">
      <c r="A439" s="255" t="str">
        <f>výpočty!$R$15</f>
        <v>Horizontális (balról jobbra)</v>
      </c>
      <c r="B439" t="str">
        <f>výpočty!$R$11</f>
        <v>C3 mechanikával</v>
      </c>
      <c r="C439" t="str">
        <f>výpočty!$R$5</f>
        <v xml:space="preserve">Frame - ráütődő takaró léces vezetéssel </v>
      </c>
      <c r="D439" s="36" t="str">
        <f>výpočty!$W$8</f>
        <v>Cseresznye (E23)</v>
      </c>
      <c r="E439" t="s">
        <v>2131</v>
      </c>
      <c r="F439">
        <v>1</v>
      </c>
      <c r="G439" t="str">
        <f>Překlady!$A$154</f>
        <v>A vízszintes vezetésnél nem használható C3 mechanika.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A vízszintes vezetésnél nem használható C3 mechanika.</v>
      </c>
      <c r="N439">
        <f t="shared" si="20"/>
        <v>1</v>
      </c>
    </row>
    <row r="440" spans="1:14" x14ac:dyDescent="0.2">
      <c r="A440" s="255" t="str">
        <f>výpočty!$R$15</f>
        <v>Horizontális (balról jobbra)</v>
      </c>
      <c r="B440" t="str">
        <f>výpočty!$R$11</f>
        <v>C3 mechanikával</v>
      </c>
      <c r="C440" t="str">
        <f>výpočty!$R$5</f>
        <v xml:space="preserve">Frame - ráütődő takaró léces vezetéssel </v>
      </c>
      <c r="D440" s="36" t="str">
        <f>výpočty!$W$9</f>
        <v>Jávor (E23)</v>
      </c>
      <c r="E440" t="s">
        <v>2131</v>
      </c>
      <c r="F440">
        <v>1</v>
      </c>
      <c r="G440" t="str">
        <f>Překlady!$A$154</f>
        <v>A vízszintes vezetésnél nem használható C3 mechanika.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A vízszintes vezetésnél nem használható C3 mechanika.</v>
      </c>
      <c r="N440">
        <f t="shared" si="20"/>
        <v>1</v>
      </c>
    </row>
    <row r="441" spans="1:14" x14ac:dyDescent="0.2">
      <c r="A441" s="255" t="str">
        <f>výpočty!$R$15</f>
        <v>Horizontális (balról jobbra)</v>
      </c>
      <c r="B441" t="str">
        <f>výpočty!$R$11</f>
        <v>C3 mechanikával</v>
      </c>
      <c r="C441" t="str">
        <f>výpočty!$R$5</f>
        <v xml:space="preserve">Frame - ráütődő takaró léces vezetéssel </v>
      </c>
      <c r="D441" s="36" t="str">
        <f>výpočty!$W$10</f>
        <v>Nyír (E23)</v>
      </c>
      <c r="E441" t="s">
        <v>2131</v>
      </c>
      <c r="F441">
        <v>1</v>
      </c>
      <c r="G441" t="str">
        <f>Překlady!$A$154</f>
        <v>A vízszintes vezetésnél nem használható C3 mechanika.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A vízszintes vezetésnél nem használható C3 mechanika.</v>
      </c>
      <c r="N441">
        <f t="shared" si="20"/>
        <v>1</v>
      </c>
    </row>
    <row r="442" spans="1:14" x14ac:dyDescent="0.2">
      <c r="A442" s="255" t="str">
        <f>výpočty!$R$15</f>
        <v>Horizontális (balról jobbra)</v>
      </c>
      <c r="B442" t="str">
        <f>výpočty!$R$11</f>
        <v>C3 mechanikával</v>
      </c>
      <c r="C442" t="str">
        <f>výpočty!$R$5</f>
        <v xml:space="preserve">Frame - ráütődő takaró léces vezetéssel </v>
      </c>
      <c r="D442" s="36" t="str">
        <f>výpočty!$W$11</f>
        <v>Cseresznye havana (E23)</v>
      </c>
      <c r="E442" t="s">
        <v>2131</v>
      </c>
      <c r="F442">
        <v>1</v>
      </c>
      <c r="G442" t="str">
        <f>Překlady!$A$154</f>
        <v>A vízszintes vezetésnél nem használható C3 mechanika.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A vízszintes vezetésnél nem használható C3 mechanika.</v>
      </c>
      <c r="N442">
        <f t="shared" si="20"/>
        <v>1</v>
      </c>
    </row>
    <row r="443" spans="1:14" x14ac:dyDescent="0.2">
      <c r="A443" s="255" t="str">
        <f>výpočty!$R$15</f>
        <v>Horizontális (balról jobbra)</v>
      </c>
      <c r="B443" t="str">
        <f>výpočty!$R$11</f>
        <v>C3 mechanikával</v>
      </c>
      <c r="C443" t="str">
        <f>výpočty!$R$5</f>
        <v xml:space="preserve">Frame - ráütődő takaró léces vezetéssel 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A vízszintes vezetésnél nem használható C3 mechanika.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A vízszintes vezetésnél nem használható C3 mechanika.</v>
      </c>
      <c r="N443">
        <f t="shared" si="20"/>
        <v>1</v>
      </c>
    </row>
    <row r="444" spans="1:14" x14ac:dyDescent="0.2">
      <c r="A444" s="255" t="str">
        <f>výpočty!$R$15</f>
        <v>Horizontális (balról jobbra)</v>
      </c>
      <c r="B444" t="str">
        <f>výpočty!$R$11</f>
        <v>C3 mechanikával</v>
      </c>
      <c r="C444" t="str">
        <f>výpočty!$R$5</f>
        <v xml:space="preserve">Frame - ráütődő takaró léces vezetéssel </v>
      </c>
      <c r="D444" s="36" t="str">
        <f>výpočty!$W$14</f>
        <v>Hófehér Matt (E9)</v>
      </c>
      <c r="E444" t="s">
        <v>2131</v>
      </c>
      <c r="F444">
        <v>1</v>
      </c>
      <c r="G444" t="str">
        <f>Překlady!$A$154</f>
        <v>A vízszintes vezetésnél nem használható C3 mechanika.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A vízszintes vezetésnél nem használható C3 mechanika.</v>
      </c>
      <c r="N444">
        <f t="shared" si="20"/>
        <v>1</v>
      </c>
    </row>
    <row r="445" spans="1:14" x14ac:dyDescent="0.2">
      <c r="A445" s="255" t="str">
        <f>výpočty!$R$15</f>
        <v>Horizontális (balról jobbra)</v>
      </c>
      <c r="B445" t="str">
        <f>výpočty!$R$11</f>
        <v>C3 mechanikával</v>
      </c>
      <c r="C445" t="str">
        <f>výpočty!$R$5</f>
        <v xml:space="preserve">Frame - ráütődő takaró léces vezetéssel </v>
      </c>
      <c r="D445" s="36" t="str">
        <f>výpočty!$W$15</f>
        <v>Alumínium-műanyag (E4)</v>
      </c>
      <c r="E445" t="s">
        <v>2131</v>
      </c>
      <c r="F445">
        <v>1</v>
      </c>
      <c r="G445" s="321" t="str">
        <f>Překlady!$A$143</f>
        <v xml:space="preserve"> E4 profil az alumínium műanyag színes elkészítése, alkalmas a vízszintes vezetésre,kombinálva a Classic vezetéssel,hátra tekercseléssel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 xml:space="preserve"> E4 profil az alumínium műanyag színes elkészítése, alkalmas a vízszintes vezetésre,kombinálva a Classic vezetéssel,hátra tekercseléssel</v>
      </c>
      <c r="N445">
        <f t="shared" si="20"/>
        <v>1</v>
      </c>
    </row>
    <row r="446" spans="1:14" x14ac:dyDescent="0.2">
      <c r="A446" s="255" t="str">
        <f>výpočty!$R$15</f>
        <v>Horizontális (balról jobbra)</v>
      </c>
      <c r="B446" t="str">
        <f>výpočty!$R$11</f>
        <v>C3 mechanikával</v>
      </c>
      <c r="C446" t="str">
        <f>výpočty!$R$5</f>
        <v xml:space="preserve">Frame - ráütődő takaró léces vezetéssel </v>
      </c>
      <c r="D446" s="36">
        <f>výpočty!$W$17</f>
        <v>0</v>
      </c>
      <c r="E446" t="s">
        <v>2131</v>
      </c>
      <c r="F446">
        <v>1</v>
      </c>
      <c r="G446" t="str">
        <f>Překlady!$A$154</f>
        <v>A vízszintes vezetésnél nem használható C3 mechanika.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A vízszintes vezetésnél nem használható C3 mechanika.</v>
      </c>
      <c r="N446">
        <f t="shared" si="20"/>
        <v>1</v>
      </c>
    </row>
    <row r="447" spans="1:14" x14ac:dyDescent="0.2">
      <c r="A447" s="255" t="str">
        <f>výpočty!$R$15</f>
        <v>Horizontális (balról jobbra)</v>
      </c>
      <c r="B447" t="str">
        <f>výpočty!$R$11</f>
        <v>C3 mechanikával</v>
      </c>
      <c r="C447" t="str">
        <f>výpočty!$R$5</f>
        <v xml:space="preserve">Frame - ráütődő takaró léces vezetéssel </v>
      </c>
      <c r="D447" s="36">
        <f>výpočty!$W$18</f>
        <v>0</v>
      </c>
      <c r="E447" t="s">
        <v>2131</v>
      </c>
      <c r="F447">
        <v>1</v>
      </c>
      <c r="G447" t="str">
        <f>Překlady!$A$154</f>
        <v>A vízszintes vezetésnél nem használható C3 mechanika.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A vízszintes vezetésnél nem használható C3 mechanika.</v>
      </c>
      <c r="N447">
        <f t="shared" si="20"/>
        <v>1</v>
      </c>
    </row>
    <row r="448" spans="1:14" x14ac:dyDescent="0.2">
      <c r="A448" s="255" t="str">
        <f>výpočty!$R$15</f>
        <v>Horizontális (balról jobbra)</v>
      </c>
      <c r="B448" t="str">
        <f>výpočty!$R$11</f>
        <v>C3 mechanikával</v>
      </c>
      <c r="C448" t="str">
        <f>výpočty!$R$5</f>
        <v xml:space="preserve">Frame - ráütődő takaró léces vezetéssel </v>
      </c>
      <c r="D448" s="36" t="str">
        <f>výpočty!$W$19</f>
        <v>ALU szélesség 25 mm (metallic-line)</v>
      </c>
      <c r="E448" t="s">
        <v>2131</v>
      </c>
      <c r="F448">
        <v>1</v>
      </c>
      <c r="G448" t="str">
        <f>Překlady!$A$154</f>
        <v>A vízszintes vezetésnél nem használható C3 mechanika.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A vízszintes vezetésnél nem használható C3 mechanika.</v>
      </c>
      <c r="N448">
        <f t="shared" si="20"/>
        <v>1</v>
      </c>
    </row>
    <row r="449" spans="1:14" ht="13.5" thickBot="1" x14ac:dyDescent="0.25">
      <c r="A449" s="255" t="str">
        <f>výpočty!$R$15</f>
        <v>Horizontális (balról jobbra)</v>
      </c>
      <c r="B449" t="str">
        <f>výpočty!$R$11</f>
        <v>C3 mechanikával</v>
      </c>
      <c r="C449" t="str">
        <f>výpočty!$R$5</f>
        <v xml:space="preserve">Frame - ráütődő takaró léces vezetéssel </v>
      </c>
      <c r="D449" s="27" t="str">
        <f>výpočty!$W$20</f>
        <v>Nemes acél szélesség 25 mm (metallic-line)</v>
      </c>
      <c r="E449" t="s">
        <v>2131</v>
      </c>
      <c r="F449">
        <v>1</v>
      </c>
      <c r="G449" t="str">
        <f>Překlady!$A$154</f>
        <v>A vízszintes vezetésnél nem használható C3 mechanika.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A vízszintes vezetésnél nem használható C3 mechanika.</v>
      </c>
      <c r="N449">
        <f t="shared" si="20"/>
        <v>1</v>
      </c>
    </row>
    <row r="450" spans="1:14" x14ac:dyDescent="0.2">
      <c r="A450" s="255" t="str">
        <f>výpočty!$R$15</f>
        <v>Horizontális (balról jobbra)</v>
      </c>
      <c r="B450" t="str">
        <f>výpočty!$R$11</f>
        <v>C3 mechanikával</v>
      </c>
      <c r="C450" t="str">
        <f>výpočty!$R$6</f>
        <v>TOP - közzézáródó vezetés csavarozásra fém takaró léccel</v>
      </c>
      <c r="D450" s="26" t="str">
        <f>výpočty!$W$3</f>
        <v>Fekete (E23)</v>
      </c>
      <c r="E450" t="s">
        <v>2131</v>
      </c>
      <c r="F450">
        <v>1</v>
      </c>
      <c r="G450" t="str">
        <f>Překlady!$A$154</f>
        <v>A vízszintes vezetésnél nem használható C3 mechanika.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A vízszintes vezetésnél nem használható C3 mechanika.</v>
      </c>
      <c r="N450">
        <f t="shared" si="20"/>
        <v>1</v>
      </c>
    </row>
    <row r="451" spans="1:14" x14ac:dyDescent="0.2">
      <c r="A451" s="255" t="str">
        <f>výpočty!$R$15</f>
        <v>Horizontális (balról jobbra)</v>
      </c>
      <c r="B451" t="str">
        <f>výpočty!$R$11</f>
        <v>C3 mechanikával</v>
      </c>
      <c r="C451" t="str">
        <f>výpočty!$R$6</f>
        <v>TOP - közzézáródó vezetés csavarozásra fém takaró léccel</v>
      </c>
      <c r="D451" s="36" t="str">
        <f>výpočty!$W$4</f>
        <v>Fehér (E23)</v>
      </c>
      <c r="E451" t="s">
        <v>2131</v>
      </c>
      <c r="F451">
        <v>1</v>
      </c>
      <c r="G451" t="str">
        <f>Překlady!$A$154</f>
        <v>A vízszintes vezetésnél nem használható C3 mechanika.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A vízszintes vezetésnél nem használható C3 mechanika.</v>
      </c>
      <c r="N451">
        <f t="shared" ref="N451:N482" si="23">F:F</f>
        <v>1</v>
      </c>
    </row>
    <row r="452" spans="1:14" x14ac:dyDescent="0.2">
      <c r="A452" s="255" t="str">
        <f>výpočty!$R$15</f>
        <v>Horizontális (balról jobbra)</v>
      </c>
      <c r="B452" t="str">
        <f>výpočty!$R$11</f>
        <v>C3 mechanikával</v>
      </c>
      <c r="C452" t="str">
        <f>výpočty!$R$6</f>
        <v>TOP - közzézáródó vezetés csavarozásra fém takaró léccel</v>
      </c>
      <c r="D452" s="36" t="str">
        <f>výpočty!$W$5</f>
        <v>Szürke (E23)</v>
      </c>
      <c r="E452" t="s">
        <v>2131</v>
      </c>
      <c r="F452">
        <v>1</v>
      </c>
      <c r="G452" t="str">
        <f>Překlady!$A$154</f>
        <v>A vízszintes vezetésnél nem használható C3 mechanika.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A vízszintes vezetésnél nem használható C3 mechanika.</v>
      </c>
      <c r="N452">
        <f t="shared" si="23"/>
        <v>1</v>
      </c>
    </row>
    <row r="453" spans="1:14" x14ac:dyDescent="0.2">
      <c r="A453" s="255" t="str">
        <f>výpočty!$R$15</f>
        <v>Horizontális (balról jobbra)</v>
      </c>
      <c r="B453" t="str">
        <f>výpočty!$R$11</f>
        <v>C3 mechanikával</v>
      </c>
      <c r="C453" t="str">
        <f>výpočty!$R$6</f>
        <v>TOP - közzézáródó vezetés csavarozásra fém takaró léccel</v>
      </c>
      <c r="D453" s="36" t="str">
        <f>výpočty!$W$6</f>
        <v>Alumínium-műanyag (E23)</v>
      </c>
      <c r="E453" t="s">
        <v>2131</v>
      </c>
      <c r="F453">
        <v>1</v>
      </c>
      <c r="G453" t="str">
        <f>Překlady!$A$154</f>
        <v>A vízszintes vezetésnél nem használható C3 mechanika.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A vízszintes vezetésnél nem használható C3 mechanika.</v>
      </c>
      <c r="N453">
        <f t="shared" si="23"/>
        <v>1</v>
      </c>
    </row>
    <row r="454" spans="1:14" x14ac:dyDescent="0.2">
      <c r="A454" s="255" t="str">
        <f>výpočty!$R$15</f>
        <v>Horizontális (balról jobbra)</v>
      </c>
      <c r="B454" t="str">
        <f>výpočty!$R$11</f>
        <v>C3 mechanikával</v>
      </c>
      <c r="C454" t="str">
        <f>výpočty!$R$6</f>
        <v>TOP - közzézáródó vezetés csavarozásra fém takaró léccel</v>
      </c>
      <c r="D454" s="36" t="str">
        <f>výpočty!$W$7</f>
        <v>Bükk (E23)</v>
      </c>
      <c r="E454" t="s">
        <v>2131</v>
      </c>
      <c r="F454">
        <v>1</v>
      </c>
      <c r="G454" t="str">
        <f>Překlady!$A$154</f>
        <v>A vízszintes vezetésnél nem használható C3 mechanika.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A vízszintes vezetésnél nem használható C3 mechanika.</v>
      </c>
      <c r="N454">
        <f t="shared" si="23"/>
        <v>1</v>
      </c>
    </row>
    <row r="455" spans="1:14" x14ac:dyDescent="0.2">
      <c r="A455" s="255" t="str">
        <f>výpočty!$R$15</f>
        <v>Horizontális (balról jobbra)</v>
      </c>
      <c r="B455" t="str">
        <f>výpočty!$R$11</f>
        <v>C3 mechanikával</v>
      </c>
      <c r="C455" t="str">
        <f>výpočty!$R$6</f>
        <v>TOP - közzézáródó vezetés csavarozásra fém takaró léccel</v>
      </c>
      <c r="D455" s="36" t="str">
        <f>výpočty!$W$8</f>
        <v>Cseresznye (E23)</v>
      </c>
      <c r="E455" t="s">
        <v>2131</v>
      </c>
      <c r="F455">
        <v>1</v>
      </c>
      <c r="G455" t="str">
        <f>Překlady!$A$154</f>
        <v>A vízszintes vezetésnél nem használható C3 mechanika.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A vízszintes vezetésnél nem használható C3 mechanika.</v>
      </c>
      <c r="N455">
        <f t="shared" si="23"/>
        <v>1</v>
      </c>
    </row>
    <row r="456" spans="1:14" x14ac:dyDescent="0.2">
      <c r="A456" s="255" t="str">
        <f>výpočty!$R$15</f>
        <v>Horizontális (balról jobbra)</v>
      </c>
      <c r="B456" t="str">
        <f>výpočty!$R$11</f>
        <v>C3 mechanikával</v>
      </c>
      <c r="C456" t="str">
        <f>výpočty!$R$6</f>
        <v>TOP - közzézáródó vezetés csavarozásra fém takaró léccel</v>
      </c>
      <c r="D456" s="36" t="str">
        <f>výpočty!$W$9</f>
        <v>Jávor (E23)</v>
      </c>
      <c r="E456" t="s">
        <v>2131</v>
      </c>
      <c r="F456">
        <v>1</v>
      </c>
      <c r="G456" t="str">
        <f>Překlady!$A$154</f>
        <v>A vízszintes vezetésnél nem használható C3 mechanika.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A vízszintes vezetésnél nem használható C3 mechanika.</v>
      </c>
      <c r="N456">
        <f t="shared" si="23"/>
        <v>1</v>
      </c>
    </row>
    <row r="457" spans="1:14" x14ac:dyDescent="0.2">
      <c r="A457" s="255" t="str">
        <f>výpočty!$R$15</f>
        <v>Horizontális (balról jobbra)</v>
      </c>
      <c r="B457" t="str">
        <f>výpočty!$R$11</f>
        <v>C3 mechanikával</v>
      </c>
      <c r="C457" t="str">
        <f>výpočty!$R$6</f>
        <v>TOP - közzézáródó vezetés csavarozásra fém takaró léccel</v>
      </c>
      <c r="D457" s="36" t="str">
        <f>výpočty!$W$10</f>
        <v>Nyír (E23)</v>
      </c>
      <c r="E457" t="s">
        <v>2131</v>
      </c>
      <c r="F457">
        <v>1</v>
      </c>
      <c r="G457" t="str">
        <f>Překlady!$A$154</f>
        <v>A vízszintes vezetésnél nem használható C3 mechanika.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A vízszintes vezetésnél nem használható C3 mechanika.</v>
      </c>
      <c r="N457">
        <f t="shared" si="23"/>
        <v>1</v>
      </c>
    </row>
    <row r="458" spans="1:14" x14ac:dyDescent="0.2">
      <c r="A458" s="255" t="str">
        <f>výpočty!$R$15</f>
        <v>Horizontális (balról jobbra)</v>
      </c>
      <c r="B458" t="str">
        <f>výpočty!$R$11</f>
        <v>C3 mechanikával</v>
      </c>
      <c r="C458" t="str">
        <f>výpočty!$R$6</f>
        <v>TOP - közzézáródó vezetés csavarozásra fém takaró léccel</v>
      </c>
      <c r="D458" s="36" t="str">
        <f>výpočty!$W$11</f>
        <v>Cseresznye havana (E23)</v>
      </c>
      <c r="E458" t="s">
        <v>2131</v>
      </c>
      <c r="F458">
        <v>1</v>
      </c>
      <c r="G458" t="str">
        <f>Překlady!$A$154</f>
        <v>A vízszintes vezetésnél nem használható C3 mechanika.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A vízszintes vezetésnél nem használható C3 mechanika.</v>
      </c>
      <c r="N458">
        <f t="shared" si="23"/>
        <v>1</v>
      </c>
    </row>
    <row r="459" spans="1:14" x14ac:dyDescent="0.2">
      <c r="A459" s="255" t="str">
        <f>výpočty!$R$15</f>
        <v>Horizontális (balról jobbra)</v>
      </c>
      <c r="B459" t="str">
        <f>výpočty!$R$11</f>
        <v>C3 mechanikával</v>
      </c>
      <c r="C459" t="str">
        <f>výpočty!$R$6</f>
        <v>TOP - közzézáródó vezetés csavarozásra fém takaró léccel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A vízszintes vezetésnél nem használható C3 mechanika.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A vízszintes vezetésnél nem használható C3 mechanika.</v>
      </c>
      <c r="N459">
        <f t="shared" si="23"/>
        <v>1</v>
      </c>
    </row>
    <row r="460" spans="1:14" x14ac:dyDescent="0.2">
      <c r="A460" s="255" t="str">
        <f>výpočty!$R$15</f>
        <v>Horizontális (balról jobbra)</v>
      </c>
      <c r="B460" t="str">
        <f>výpočty!$R$11</f>
        <v>C3 mechanikával</v>
      </c>
      <c r="C460" t="str">
        <f>výpočty!$R$6</f>
        <v>TOP - közzézáródó vezetés csavarozásra fém takaró léccel</v>
      </c>
      <c r="D460" s="36" t="str">
        <f>výpočty!$W$14</f>
        <v>Hófehér Matt (E9)</v>
      </c>
      <c r="E460" t="s">
        <v>2131</v>
      </c>
      <c r="F460">
        <v>1</v>
      </c>
      <c r="G460" t="str">
        <f>Překlady!$A$154</f>
        <v>A vízszintes vezetésnél nem használható C3 mechanika.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A vízszintes vezetésnél nem használható C3 mechanika.</v>
      </c>
      <c r="N460">
        <f t="shared" si="23"/>
        <v>1</v>
      </c>
    </row>
    <row r="461" spans="1:14" x14ac:dyDescent="0.2">
      <c r="A461" s="255" t="str">
        <f>výpočty!$R$15</f>
        <v>Horizontális (balról jobbra)</v>
      </c>
      <c r="B461" t="str">
        <f>výpočty!$R$11</f>
        <v>C3 mechanikával</v>
      </c>
      <c r="C461" t="str">
        <f>výpočty!$R$6</f>
        <v>TOP - közzézáródó vezetés csavarozásra fém takaró léccel</v>
      </c>
      <c r="D461" s="36" t="str">
        <f>výpočty!$W$15</f>
        <v>Alumínium-műanyag (E4)</v>
      </c>
      <c r="E461" t="s">
        <v>2131</v>
      </c>
      <c r="F461">
        <v>1</v>
      </c>
      <c r="G461" s="321" t="str">
        <f>Překlady!$A$143</f>
        <v xml:space="preserve"> E4 profil az alumínium műanyag színes elkészítése, alkalmas a vízszintes vezetésre,kombinálva a Classic vezetéssel,hátra tekercseléssel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 xml:space="preserve"> E4 profil az alumínium műanyag színes elkészítése, alkalmas a vízszintes vezetésre,kombinálva a Classic vezetéssel,hátra tekercseléssel</v>
      </c>
      <c r="N461">
        <f t="shared" si="23"/>
        <v>1</v>
      </c>
    </row>
    <row r="462" spans="1:14" x14ac:dyDescent="0.2">
      <c r="A462" s="255" t="str">
        <f>výpočty!$R$15</f>
        <v>Horizontális (balról jobbra)</v>
      </c>
      <c r="B462" t="str">
        <f>výpočty!$R$11</f>
        <v>C3 mechanikával</v>
      </c>
      <c r="C462" t="str">
        <f>výpočty!$R$6</f>
        <v>TOP - közzézáródó vezetés csavarozásra fém takaró léccel</v>
      </c>
      <c r="D462" s="36">
        <f>výpočty!$W$17</f>
        <v>0</v>
      </c>
      <c r="E462" t="s">
        <v>2131</v>
      </c>
      <c r="F462">
        <v>1</v>
      </c>
      <c r="G462" t="str">
        <f>Překlady!$A$154</f>
        <v>A vízszintes vezetésnél nem használható C3 mechanika.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A vízszintes vezetésnél nem használható C3 mechanika.</v>
      </c>
      <c r="N462">
        <f t="shared" si="23"/>
        <v>1</v>
      </c>
    </row>
    <row r="463" spans="1:14" x14ac:dyDescent="0.2">
      <c r="A463" s="255" t="str">
        <f>výpočty!$R$15</f>
        <v>Horizontális (balról jobbra)</v>
      </c>
      <c r="B463" t="str">
        <f>výpočty!$R$11</f>
        <v>C3 mechanikával</v>
      </c>
      <c r="C463" t="str">
        <f>výpočty!$R$6</f>
        <v>TOP - közzézáródó vezetés csavarozásra fém takaró léccel</v>
      </c>
      <c r="D463" s="36">
        <f>výpočty!$W$18</f>
        <v>0</v>
      </c>
      <c r="E463" t="s">
        <v>2131</v>
      </c>
      <c r="F463">
        <v>1</v>
      </c>
      <c r="G463" t="str">
        <f>Překlady!$A$154</f>
        <v>A vízszintes vezetésnél nem használható C3 mechanika.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A vízszintes vezetésnél nem használható C3 mechanika.</v>
      </c>
      <c r="N463">
        <f t="shared" si="23"/>
        <v>1</v>
      </c>
    </row>
    <row r="464" spans="1:14" x14ac:dyDescent="0.2">
      <c r="A464" s="255" t="str">
        <f>výpočty!$R$15</f>
        <v>Horizontális (balról jobbra)</v>
      </c>
      <c r="B464" t="str">
        <f>výpočty!$R$11</f>
        <v>C3 mechanikával</v>
      </c>
      <c r="C464" t="str">
        <f>výpočty!$R$6</f>
        <v>TOP - közzézáródó vezetés csavarozásra fém takaró léccel</v>
      </c>
      <c r="D464" s="36" t="str">
        <f>výpočty!$W$19</f>
        <v>ALU szélesség 25 mm (metallic-line)</v>
      </c>
      <c r="E464" t="s">
        <v>2131</v>
      </c>
      <c r="F464">
        <v>1</v>
      </c>
      <c r="G464" t="str">
        <f>Překlady!$A$154</f>
        <v>A vízszintes vezetésnél nem használható C3 mechanika.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A vízszintes vezetésnél nem használható C3 mechanika.</v>
      </c>
      <c r="N464">
        <f t="shared" si="23"/>
        <v>1</v>
      </c>
    </row>
    <row r="465" spans="1:14" ht="13.5" thickBot="1" x14ac:dyDescent="0.25">
      <c r="A465" s="255" t="str">
        <f>výpočty!$R$15</f>
        <v>Horizontális (balról jobbra)</v>
      </c>
      <c r="B465" t="str">
        <f>výpočty!$R$11</f>
        <v>C3 mechanikával</v>
      </c>
      <c r="C465" t="str">
        <f>výpočty!$R$6</f>
        <v>TOP - közzézáródó vezetés csavarozásra fém takaró léccel</v>
      </c>
      <c r="D465" s="27" t="str">
        <f>výpočty!$W$20</f>
        <v>Nemes acél szélesség 25 mm (metallic-line)</v>
      </c>
      <c r="E465" t="s">
        <v>2131</v>
      </c>
      <c r="F465">
        <v>1</v>
      </c>
      <c r="G465" t="str">
        <f>Překlady!$A$154</f>
        <v>A vízszintes vezetésnél nem használható C3 mechanika.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A vízszintes vezetésnél nem használható C3 mechanika.</v>
      </c>
      <c r="N465">
        <f t="shared" si="23"/>
        <v>1</v>
      </c>
    </row>
    <row r="466" spans="1:14" x14ac:dyDescent="0.2">
      <c r="A466" s="255" t="str">
        <f>výpočty!$R$15</f>
        <v>Horizontális (balról jobbra)</v>
      </c>
      <c r="B466" t="str">
        <f>výpočty!$R$11</f>
        <v>C3 mechanikával</v>
      </c>
      <c r="C466" t="str">
        <f>výpočty!$R$7</f>
        <v>Ráütődő metallic-line vezetéssel 29mm és C3 mech.</v>
      </c>
      <c r="D466" s="26" t="str">
        <f>výpočty!$W$3</f>
        <v>Fekete (E23)</v>
      </c>
      <c r="E466" t="s">
        <v>2131</v>
      </c>
      <c r="F466">
        <v>1</v>
      </c>
      <c r="G466" t="str">
        <f>Překlady!$A$154</f>
        <v>A vízszintes vezetésnél nem használható C3 mechanika.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A vízszintes vezetésnél nem használható C3 mechanika.</v>
      </c>
      <c r="N466">
        <f t="shared" si="23"/>
        <v>1</v>
      </c>
    </row>
    <row r="467" spans="1:14" x14ac:dyDescent="0.2">
      <c r="A467" s="255" t="str">
        <f>výpočty!$R$15</f>
        <v>Horizontális (balról jobbra)</v>
      </c>
      <c r="B467" t="str">
        <f>výpočty!$R$11</f>
        <v>C3 mechanikával</v>
      </c>
      <c r="C467" t="str">
        <f>výpočty!$R$7</f>
        <v>Ráütődő metallic-line vezetéssel 29mm és C3 mech.</v>
      </c>
      <c r="D467" s="36" t="str">
        <f>výpočty!$W$4</f>
        <v>Fehér (E23)</v>
      </c>
      <c r="E467" t="s">
        <v>2131</v>
      </c>
      <c r="F467">
        <v>1</v>
      </c>
      <c r="G467" t="str">
        <f>Překlady!$A$154</f>
        <v>A vízszintes vezetésnél nem használható C3 mechanika.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A vízszintes vezetésnél nem használható C3 mechanika.</v>
      </c>
      <c r="N467">
        <f t="shared" si="23"/>
        <v>1</v>
      </c>
    </row>
    <row r="468" spans="1:14" x14ac:dyDescent="0.2">
      <c r="A468" s="255" t="str">
        <f>výpočty!$R$15</f>
        <v>Horizontális (balról jobbra)</v>
      </c>
      <c r="B468" t="str">
        <f>výpočty!$R$11</f>
        <v>C3 mechanikával</v>
      </c>
      <c r="C468" t="str">
        <f>výpočty!$R$7</f>
        <v>Ráütődő metallic-line vezetéssel 29mm és C3 mech.</v>
      </c>
      <c r="D468" s="36" t="str">
        <f>výpočty!$W$5</f>
        <v>Szürke (E23)</v>
      </c>
      <c r="E468" t="s">
        <v>2131</v>
      </c>
      <c r="F468">
        <v>1</v>
      </c>
      <c r="G468" t="str">
        <f>Překlady!$A$154</f>
        <v>A vízszintes vezetésnél nem használható C3 mechanika.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A vízszintes vezetésnél nem használható C3 mechanika.</v>
      </c>
      <c r="N468">
        <f t="shared" si="23"/>
        <v>1</v>
      </c>
    </row>
    <row r="469" spans="1:14" x14ac:dyDescent="0.2">
      <c r="A469" s="255" t="str">
        <f>výpočty!$R$15</f>
        <v>Horizontális (balról jobbra)</v>
      </c>
      <c r="B469" t="str">
        <f>výpočty!$R$11</f>
        <v>C3 mechanikával</v>
      </c>
      <c r="C469" t="str">
        <f>výpočty!$R$7</f>
        <v>Ráütődő metallic-line vezetéssel 29mm és C3 mech.</v>
      </c>
      <c r="D469" s="36" t="str">
        <f>výpočty!$W$6</f>
        <v>Alumínium-műanyag (E23)</v>
      </c>
      <c r="E469" t="s">
        <v>2131</v>
      </c>
      <c r="F469">
        <v>1</v>
      </c>
      <c r="G469" t="str">
        <f>Překlady!$A$154</f>
        <v>A vízszintes vezetésnél nem használható C3 mechanika.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A vízszintes vezetésnél nem használható C3 mechanika.</v>
      </c>
      <c r="N469">
        <f t="shared" si="23"/>
        <v>1</v>
      </c>
    </row>
    <row r="470" spans="1:14" x14ac:dyDescent="0.2">
      <c r="A470" s="255" t="str">
        <f>výpočty!$R$15</f>
        <v>Horizontális (balról jobbra)</v>
      </c>
      <c r="B470" t="str">
        <f>výpočty!$R$11</f>
        <v>C3 mechanikával</v>
      </c>
      <c r="C470" t="str">
        <f>výpočty!$R$7</f>
        <v>Ráütődő metallic-line vezetéssel 29mm és C3 mech.</v>
      </c>
      <c r="D470" s="36" t="str">
        <f>výpočty!$W$7</f>
        <v>Bükk (E23)</v>
      </c>
      <c r="E470" t="s">
        <v>2131</v>
      </c>
      <c r="F470">
        <v>1</v>
      </c>
      <c r="G470" t="str">
        <f>Překlady!$A$154</f>
        <v>A vízszintes vezetésnél nem használható C3 mechanika.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A vízszintes vezetésnél nem használható C3 mechanika.</v>
      </c>
      <c r="N470">
        <f t="shared" si="23"/>
        <v>1</v>
      </c>
    </row>
    <row r="471" spans="1:14" x14ac:dyDescent="0.2">
      <c r="A471" s="255" t="str">
        <f>výpočty!$R$15</f>
        <v>Horizontális (balról jobbra)</v>
      </c>
      <c r="B471" t="str">
        <f>výpočty!$R$11</f>
        <v>C3 mechanikával</v>
      </c>
      <c r="C471" t="str">
        <f>výpočty!$R$7</f>
        <v>Ráütődő metallic-line vezetéssel 29mm és C3 mech.</v>
      </c>
      <c r="D471" s="36" t="str">
        <f>výpočty!$W$8</f>
        <v>Cseresznye (E23)</v>
      </c>
      <c r="E471" t="s">
        <v>2131</v>
      </c>
      <c r="F471">
        <v>1</v>
      </c>
      <c r="G471" t="str">
        <f>Překlady!$A$154</f>
        <v>A vízszintes vezetésnél nem használható C3 mechanika.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A vízszintes vezetésnél nem használható C3 mechanika.</v>
      </c>
      <c r="N471">
        <f t="shared" si="23"/>
        <v>1</v>
      </c>
    </row>
    <row r="472" spans="1:14" x14ac:dyDescent="0.2">
      <c r="A472" s="255" t="str">
        <f>výpočty!$R$15</f>
        <v>Horizontális (balról jobbra)</v>
      </c>
      <c r="B472" t="str">
        <f>výpočty!$R$11</f>
        <v>C3 mechanikával</v>
      </c>
      <c r="C472" t="str">
        <f>výpočty!$R$7</f>
        <v>Ráütődő metallic-line vezetéssel 29mm és C3 mech.</v>
      </c>
      <c r="D472" s="36" t="str">
        <f>výpočty!$W$9</f>
        <v>Jávor (E23)</v>
      </c>
      <c r="E472" t="s">
        <v>2131</v>
      </c>
      <c r="F472">
        <v>1</v>
      </c>
      <c r="G472" t="str">
        <f>Překlady!$A$154</f>
        <v>A vízszintes vezetésnél nem használható C3 mechanika.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A vízszintes vezetésnél nem használható C3 mechanika.</v>
      </c>
      <c r="N472">
        <f t="shared" si="23"/>
        <v>1</v>
      </c>
    </row>
    <row r="473" spans="1:14" x14ac:dyDescent="0.2">
      <c r="A473" s="255" t="str">
        <f>výpočty!$R$15</f>
        <v>Horizontális (balról jobbra)</v>
      </c>
      <c r="B473" t="str">
        <f>výpočty!$R$11</f>
        <v>C3 mechanikával</v>
      </c>
      <c r="C473" t="str">
        <f>výpočty!$R$7</f>
        <v>Ráütődő metallic-line vezetéssel 29mm és C3 mech.</v>
      </c>
      <c r="D473" s="36" t="str">
        <f>výpočty!$W$10</f>
        <v>Nyír (E23)</v>
      </c>
      <c r="E473" t="s">
        <v>2131</v>
      </c>
      <c r="F473">
        <v>1</v>
      </c>
      <c r="G473" t="str">
        <f>Překlady!$A$154</f>
        <v>A vízszintes vezetésnél nem használható C3 mechanika.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A vízszintes vezetésnél nem használható C3 mechanika.</v>
      </c>
      <c r="N473">
        <f t="shared" si="23"/>
        <v>1</v>
      </c>
    </row>
    <row r="474" spans="1:14" x14ac:dyDescent="0.2">
      <c r="A474" s="255" t="str">
        <f>výpočty!$R$15</f>
        <v>Horizontális (balról jobbra)</v>
      </c>
      <c r="B474" t="str">
        <f>výpočty!$R$11</f>
        <v>C3 mechanikával</v>
      </c>
      <c r="C474" t="str">
        <f>výpočty!$R$7</f>
        <v>Ráütődő metallic-line vezetéssel 29mm és C3 mech.</v>
      </c>
      <c r="D474" s="36" t="str">
        <f>výpočty!$W$11</f>
        <v>Cseresznye havana (E23)</v>
      </c>
      <c r="E474" t="s">
        <v>2131</v>
      </c>
      <c r="F474">
        <v>1</v>
      </c>
      <c r="G474" t="str">
        <f>Překlady!$A$154</f>
        <v>A vízszintes vezetésnél nem használható C3 mechanika.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A vízszintes vezetésnél nem használható C3 mechanika.</v>
      </c>
      <c r="N474">
        <f t="shared" si="23"/>
        <v>1</v>
      </c>
    </row>
    <row r="475" spans="1:14" x14ac:dyDescent="0.2">
      <c r="A475" s="255" t="str">
        <f>výpočty!$R$15</f>
        <v>Horizontális (balról jobbra)</v>
      </c>
      <c r="B475" t="str">
        <f>výpočty!$R$11</f>
        <v>C3 mechanikával</v>
      </c>
      <c r="C475" t="str">
        <f>výpočty!$R$7</f>
        <v>Ráütődő metallic-line vezetéssel 29mm és C3 mech.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A vízszintes vezetésnél nem használható C3 mechanika.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A vízszintes vezetésnél nem használható C3 mechanika.</v>
      </c>
      <c r="N475">
        <f t="shared" si="23"/>
        <v>1</v>
      </c>
    </row>
    <row r="476" spans="1:14" x14ac:dyDescent="0.2">
      <c r="A476" s="255" t="str">
        <f>výpočty!$R$15</f>
        <v>Horizontális (balról jobbra)</v>
      </c>
      <c r="B476" t="str">
        <f>výpočty!$R$11</f>
        <v>C3 mechanikával</v>
      </c>
      <c r="C476" t="str">
        <f>výpočty!$R$7</f>
        <v>Ráütődő metallic-line vezetéssel 29mm és C3 mech.</v>
      </c>
      <c r="D476" s="36" t="str">
        <f>výpočty!$W$14</f>
        <v>Hófehér Matt (E9)</v>
      </c>
      <c r="E476" t="s">
        <v>2131</v>
      </c>
      <c r="F476">
        <v>1</v>
      </c>
      <c r="G476" t="str">
        <f>Překlady!$A$154</f>
        <v>A vízszintes vezetésnél nem használható C3 mechanika.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A vízszintes vezetésnél nem használható C3 mechanika.</v>
      </c>
      <c r="N476">
        <f t="shared" si="23"/>
        <v>1</v>
      </c>
    </row>
    <row r="477" spans="1:14" x14ac:dyDescent="0.2">
      <c r="A477" s="255" t="str">
        <f>výpočty!$R$15</f>
        <v>Horizontális (balról jobbra)</v>
      </c>
      <c r="B477" t="str">
        <f>výpočty!$R$11</f>
        <v>C3 mechanikával</v>
      </c>
      <c r="C477" t="str">
        <f>výpočty!$R$7</f>
        <v>Ráütődő metallic-line vezetéssel 29mm és C3 mech.</v>
      </c>
      <c r="D477" s="36" t="str">
        <f>výpočty!$W$15</f>
        <v>Alumínium-műanyag (E4)</v>
      </c>
      <c r="E477" t="s">
        <v>2131</v>
      </c>
      <c r="F477">
        <v>1</v>
      </c>
      <c r="G477" s="321" t="str">
        <f>Překlady!$A$143</f>
        <v xml:space="preserve"> E4 profil az alumínium műanyag színes elkészítése, alkalmas a vízszintes vezetésre,kombinálva a Classic vezetéssel,hátra tekercseléssel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 xml:space="preserve"> E4 profil az alumínium műanyag színes elkészítése, alkalmas a vízszintes vezetésre,kombinálva a Classic vezetéssel,hátra tekercseléssel</v>
      </c>
      <c r="N477">
        <f t="shared" si="23"/>
        <v>1</v>
      </c>
    </row>
    <row r="478" spans="1:14" x14ac:dyDescent="0.2">
      <c r="A478" s="255" t="str">
        <f>výpočty!$R$15</f>
        <v>Horizontális (balról jobbra)</v>
      </c>
      <c r="B478" t="str">
        <f>výpočty!$R$11</f>
        <v>C3 mechanikával</v>
      </c>
      <c r="C478" t="str">
        <f>výpočty!$R$7</f>
        <v>Ráütődő metallic-line vezetéssel 29mm és C3 mech.</v>
      </c>
      <c r="D478" s="36">
        <f>výpočty!$W$17</f>
        <v>0</v>
      </c>
      <c r="E478" t="s">
        <v>2131</v>
      </c>
      <c r="F478">
        <v>1</v>
      </c>
      <c r="G478" t="str">
        <f>Překlady!$A$154</f>
        <v>A vízszintes vezetésnél nem használható C3 mechanika.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A vízszintes vezetésnél nem használható C3 mechanika.</v>
      </c>
      <c r="N478">
        <f t="shared" si="23"/>
        <v>1</v>
      </c>
    </row>
    <row r="479" spans="1:14" x14ac:dyDescent="0.2">
      <c r="A479" s="255" t="str">
        <f>výpočty!$R$15</f>
        <v>Horizontális (balról jobbra)</v>
      </c>
      <c r="B479" t="str">
        <f>výpočty!$R$11</f>
        <v>C3 mechanikával</v>
      </c>
      <c r="C479" t="str">
        <f>výpočty!$R$7</f>
        <v>Ráütődő metallic-line vezetéssel 29mm és C3 mech.</v>
      </c>
      <c r="D479" s="36">
        <f>výpočty!$W$18</f>
        <v>0</v>
      </c>
      <c r="E479" t="s">
        <v>2131</v>
      </c>
      <c r="F479">
        <v>1</v>
      </c>
      <c r="G479" t="str">
        <f>Překlady!$A$154</f>
        <v>A vízszintes vezetésnél nem használható C3 mechanika.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A vízszintes vezetésnél nem használható C3 mechanika.</v>
      </c>
      <c r="N479">
        <f t="shared" si="23"/>
        <v>1</v>
      </c>
    </row>
    <row r="480" spans="1:14" x14ac:dyDescent="0.2">
      <c r="A480" s="255" t="str">
        <f>výpočty!$R$15</f>
        <v>Horizontális (balról jobbra)</v>
      </c>
      <c r="B480" t="str">
        <f>výpočty!$R$11</f>
        <v>C3 mechanikával</v>
      </c>
      <c r="C480" t="str">
        <f>výpočty!$R$7</f>
        <v>Ráütődő metallic-line vezetéssel 29mm és C3 mech.</v>
      </c>
      <c r="D480" s="36" t="str">
        <f>výpočty!$W$19</f>
        <v>ALU szélesség 25 mm (metallic-line)</v>
      </c>
      <c r="E480" t="s">
        <v>2131</v>
      </c>
      <c r="F480">
        <v>1</v>
      </c>
      <c r="G480" t="str">
        <f>Překlady!$A$154</f>
        <v>A vízszintes vezetésnél nem használható C3 mechanika.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A vízszintes vezetésnél nem használható C3 mechanika.</v>
      </c>
      <c r="N480">
        <f t="shared" si="23"/>
        <v>1</v>
      </c>
    </row>
    <row r="481" spans="1:14" ht="13.5" thickBot="1" x14ac:dyDescent="0.25">
      <c r="A481" s="255" t="str">
        <f>výpočty!$R$15</f>
        <v>Horizontális (balról jobbra)</v>
      </c>
      <c r="B481" t="str">
        <f>výpočty!$R$11</f>
        <v>C3 mechanikával</v>
      </c>
      <c r="C481" t="str">
        <f>výpočty!$R$7</f>
        <v>Ráütődő metallic-line vezetéssel 29mm és C3 mech.</v>
      </c>
      <c r="D481" s="27" t="str">
        <f>výpočty!$W$20</f>
        <v>Nemes acél szélesség 25 mm (metallic-line)</v>
      </c>
      <c r="E481" t="s">
        <v>2131</v>
      </c>
      <c r="F481">
        <v>1</v>
      </c>
      <c r="G481" t="str">
        <f>Překlady!$A$154</f>
        <v>A vízszintes vezetésnél nem használható C3 mechanika.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A vízszintes vezetésnél nem használható C3 mechanika.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1939</v>
      </c>
    </row>
    <row r="3" spans="1:7" x14ac:dyDescent="0.2">
      <c r="A3" t="s">
        <v>1309</v>
      </c>
      <c r="B3" s="321" t="s">
        <v>1941</v>
      </c>
    </row>
    <row r="4" spans="1:7" x14ac:dyDescent="0.2">
      <c r="A4" t="s">
        <v>1535</v>
      </c>
      <c r="B4" t="s">
        <v>1938</v>
      </c>
    </row>
    <row r="5" spans="1:7" x14ac:dyDescent="0.2">
      <c r="A5" t="s">
        <v>1311</v>
      </c>
      <c r="B5" s="321" t="s">
        <v>1940</v>
      </c>
    </row>
    <row r="6" spans="1:7" x14ac:dyDescent="0.2">
      <c r="A6" t="s">
        <v>1530</v>
      </c>
      <c r="B6" s="321" t="s">
        <v>1989</v>
      </c>
    </row>
    <row r="13" spans="1:7" x14ac:dyDescent="0.2">
      <c r="A13" s="17" t="s">
        <v>1942</v>
      </c>
    </row>
    <row r="14" spans="1:7" x14ac:dyDescent="0.2">
      <c r="A14" s="321" t="s">
        <v>1943</v>
      </c>
      <c r="C14" s="321" t="s">
        <v>2140</v>
      </c>
    </row>
    <row r="15" spans="1:7" x14ac:dyDescent="0.2">
      <c r="A15" s="321" t="s">
        <v>1982</v>
      </c>
    </row>
    <row r="16" spans="1:7" x14ac:dyDescent="0.2">
      <c r="A16" s="321" t="s">
        <v>1944</v>
      </c>
      <c r="B16" t="s">
        <v>1983</v>
      </c>
      <c r="C16" s="321" t="s">
        <v>2140</v>
      </c>
    </row>
    <row r="17" spans="1:4" x14ac:dyDescent="0.2">
      <c r="A17" s="324" t="s">
        <v>1945</v>
      </c>
      <c r="C17" s="321" t="s">
        <v>2140</v>
      </c>
    </row>
    <row r="18" spans="1:4" x14ac:dyDescent="0.2">
      <c r="A18" s="321" t="s">
        <v>1951</v>
      </c>
      <c r="C18" s="321" t="s">
        <v>2140</v>
      </c>
    </row>
    <row r="19" spans="1:4" x14ac:dyDescent="0.2">
      <c r="A19" s="321" t="s">
        <v>1946</v>
      </c>
      <c r="C19" s="321" t="s">
        <v>2140</v>
      </c>
    </row>
    <row r="20" spans="1:4" x14ac:dyDescent="0.2">
      <c r="A20" s="321" t="s">
        <v>1947</v>
      </c>
      <c r="C20" s="321" t="s">
        <v>2140</v>
      </c>
    </row>
    <row r="21" spans="1:4" x14ac:dyDescent="0.2">
      <c r="A21" s="321" t="s">
        <v>1948</v>
      </c>
    </row>
    <row r="22" spans="1:4" x14ac:dyDescent="0.2">
      <c r="A22" s="321" t="s">
        <v>1949</v>
      </c>
      <c r="C22" s="321" t="s">
        <v>2176</v>
      </c>
    </row>
    <row r="23" spans="1:4" x14ac:dyDescent="0.2">
      <c r="A23" s="321" t="s">
        <v>1950</v>
      </c>
      <c r="C23" s="321" t="s">
        <v>2140</v>
      </c>
    </row>
    <row r="24" spans="1:4" x14ac:dyDescent="0.2">
      <c r="A24" s="321" t="s">
        <v>1952</v>
      </c>
      <c r="C24" s="321" t="s">
        <v>2140</v>
      </c>
    </row>
    <row r="25" spans="1:4" x14ac:dyDescent="0.2">
      <c r="A25" s="321" t="s">
        <v>1988</v>
      </c>
    </row>
    <row r="29" spans="1:4" x14ac:dyDescent="0.2">
      <c r="A29" s="328" t="s">
        <v>1953</v>
      </c>
    </row>
    <row r="30" spans="1:4" x14ac:dyDescent="0.2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">
      <c r="A31" t="s">
        <v>1972</v>
      </c>
      <c r="B31" t="s">
        <v>1960</v>
      </c>
      <c r="C31" t="s">
        <v>1955</v>
      </c>
      <c r="D31">
        <v>353559</v>
      </c>
    </row>
    <row r="32" spans="1:4" x14ac:dyDescent="0.2">
      <c r="A32" t="s">
        <v>1973</v>
      </c>
      <c r="B32" t="s">
        <v>1961</v>
      </c>
      <c r="C32" t="s">
        <v>1956</v>
      </c>
      <c r="D32">
        <v>353557</v>
      </c>
    </row>
    <row r="33" spans="1:4" x14ac:dyDescent="0.2">
      <c r="B33" t="s">
        <v>1962</v>
      </c>
      <c r="C33" t="s">
        <v>1957</v>
      </c>
      <c r="D33" t="s">
        <v>1527</v>
      </c>
    </row>
    <row r="34" spans="1:4" x14ac:dyDescent="0.2">
      <c r="B34" t="s">
        <v>1963</v>
      </c>
      <c r="C34" t="s">
        <v>1958</v>
      </c>
      <c r="D34">
        <v>353560</v>
      </c>
    </row>
    <row r="35" spans="1:4" x14ac:dyDescent="0.2">
      <c r="B35" t="s">
        <v>1964</v>
      </c>
      <c r="C35" s="321" t="s">
        <v>2009</v>
      </c>
      <c r="D35" t="s">
        <v>572</v>
      </c>
    </row>
    <row r="36" spans="1:4" x14ac:dyDescent="0.2">
      <c r="B36" t="s">
        <v>1965</v>
      </c>
      <c r="C36" t="s">
        <v>1966</v>
      </c>
      <c r="D36" t="s">
        <v>538</v>
      </c>
    </row>
    <row r="38" spans="1:4" x14ac:dyDescent="0.2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">
      <c r="A39" t="s">
        <v>1972</v>
      </c>
      <c r="B39" t="s">
        <v>1960</v>
      </c>
      <c r="C39" t="s">
        <v>1955</v>
      </c>
      <c r="D39">
        <v>353559</v>
      </c>
    </row>
    <row r="40" spans="1:4" x14ac:dyDescent="0.2">
      <c r="A40" t="s">
        <v>1973</v>
      </c>
      <c r="B40" t="s">
        <v>1961</v>
      </c>
      <c r="C40" t="s">
        <v>1956</v>
      </c>
      <c r="D40">
        <v>353557</v>
      </c>
    </row>
    <row r="41" spans="1:4" x14ac:dyDescent="0.2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">
      <c r="B42" t="s">
        <v>1963</v>
      </c>
      <c r="C42" t="s">
        <v>1958</v>
      </c>
      <c r="D42">
        <v>353560</v>
      </c>
    </row>
    <row r="43" spans="1:4" x14ac:dyDescent="0.2">
      <c r="B43" t="s">
        <v>1964</v>
      </c>
      <c r="C43" t="s">
        <v>1968</v>
      </c>
      <c r="D43" t="s">
        <v>585</v>
      </c>
    </row>
    <row r="44" spans="1:4" x14ac:dyDescent="0.2">
      <c r="C44" t="s">
        <v>1969</v>
      </c>
      <c r="D44">
        <v>353556</v>
      </c>
    </row>
    <row r="45" spans="1:4" x14ac:dyDescent="0.2">
      <c r="B45" t="s">
        <v>1965</v>
      </c>
      <c r="C45" t="s">
        <v>1970</v>
      </c>
      <c r="D45" t="s">
        <v>606</v>
      </c>
    </row>
    <row r="46" spans="1:4" x14ac:dyDescent="0.2">
      <c r="B46" t="s">
        <v>1971</v>
      </c>
    </row>
    <row r="48" spans="1:4" x14ac:dyDescent="0.2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">
      <c r="B50" t="s">
        <v>1961</v>
      </c>
      <c r="C50" t="s">
        <v>1978</v>
      </c>
      <c r="D50" t="s">
        <v>468</v>
      </c>
    </row>
    <row r="51" spans="1:4" x14ac:dyDescent="0.2">
      <c r="B51" t="s">
        <v>1962</v>
      </c>
      <c r="C51" t="s">
        <v>1979</v>
      </c>
      <c r="D51" t="s">
        <v>1527</v>
      </c>
    </row>
    <row r="52" spans="1:4" x14ac:dyDescent="0.2">
      <c r="B52" t="s">
        <v>1963</v>
      </c>
      <c r="C52" t="s">
        <v>1980</v>
      </c>
      <c r="D52" t="s">
        <v>483</v>
      </c>
    </row>
    <row r="53" spans="1:4" x14ac:dyDescent="0.2">
      <c r="B53" t="s">
        <v>1964</v>
      </c>
      <c r="C53" t="s">
        <v>1981</v>
      </c>
      <c r="D53" t="s">
        <v>663</v>
      </c>
    </row>
    <row r="54" spans="1:4" x14ac:dyDescent="0.2">
      <c r="B54" t="s">
        <v>1965</v>
      </c>
      <c r="C54" t="s">
        <v>1966</v>
      </c>
      <c r="D54" t="s">
        <v>684</v>
      </c>
    </row>
    <row r="57" spans="1:4" x14ac:dyDescent="0.2">
      <c r="A57" t="s">
        <v>1984</v>
      </c>
      <c r="B57" t="s">
        <v>1986</v>
      </c>
      <c r="C57" t="s">
        <v>115</v>
      </c>
    </row>
    <row r="58" spans="1:4" x14ac:dyDescent="0.2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B2" sqref="B2:N2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89" t="str">
        <f>Překlady!A141</f>
        <v>Redőny profil tipusok</v>
      </c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1"/>
    </row>
    <row r="3" spans="2:14" ht="6.75" customHeight="1" x14ac:dyDescent="0.2"/>
    <row r="4" spans="2:14" x14ac:dyDescent="0.2">
      <c r="C4" s="610" t="s">
        <v>1317</v>
      </c>
      <c r="D4" s="610"/>
      <c r="E4" s="610"/>
      <c r="G4" s="610" t="s">
        <v>2158</v>
      </c>
      <c r="H4" s="610"/>
      <c r="I4" s="610"/>
      <c r="K4" s="610" t="s">
        <v>2159</v>
      </c>
      <c r="L4" s="610"/>
      <c r="M4" s="610"/>
    </row>
    <row r="5" spans="2:14" x14ac:dyDescent="0.2">
      <c r="C5" s="221" t="str">
        <f>Překlady!A165</f>
        <v xml:space="preserve">műanyag </v>
      </c>
      <c r="G5" s="221" t="str">
        <f>Překlady!A162</f>
        <v>fémes megjelenés</v>
      </c>
      <c r="K5" s="221" t="str">
        <f>Překlady!A162</f>
        <v>fémes megjelenés</v>
      </c>
    </row>
    <row r="6" spans="2:14" x14ac:dyDescent="0.2">
      <c r="C6" s="221" t="str">
        <f>Překlady!A166</f>
        <v>A profil különböző színkombinációkban</v>
      </c>
      <c r="G6" s="221" t="str">
        <f>Překlady!A158</f>
        <v>Szín alumínium vagy nemesacél</v>
      </c>
      <c r="K6" s="221" t="str">
        <f>Překlady!A158</f>
        <v>Szín alumínium vagy nemesacél</v>
      </c>
    </row>
    <row r="7" spans="2:14" x14ac:dyDescent="0.2">
      <c r="C7" s="221" t="str">
        <f>Překlady!$A$20</f>
        <v>A vezetési rendszer típusa</v>
      </c>
      <c r="G7" s="221" t="str">
        <f>Překlady!A164</f>
        <v>A lamella belülről nyitva van</v>
      </c>
      <c r="K7" s="221" t="str">
        <f>Překlady!A163</f>
        <v>A lamella belülről is le van zárva</v>
      </c>
    </row>
    <row r="8" spans="2:14" x14ac:dyDescent="0.2">
      <c r="C8" s="362" t="s">
        <v>2170</v>
      </c>
      <c r="G8" s="221" t="str">
        <f>Překlady!$A$20</f>
        <v>A vezetési rendszer típusa</v>
      </c>
      <c r="K8" s="221" t="str">
        <f>Překlady!$A$20</f>
        <v>A vezetési rendszer típusa</v>
      </c>
    </row>
    <row r="9" spans="2:14" x14ac:dyDescent="0.2">
      <c r="C9" s="362" t="s">
        <v>2171</v>
      </c>
      <c r="G9" s="611" t="str">
        <f>Překlady!A159</f>
        <v>Classic (kombinálva műanyag vezetéssel)</v>
      </c>
      <c r="H9" s="611"/>
      <c r="I9" s="611"/>
      <c r="K9" s="363" t="str">
        <f>Překlady!A159</f>
        <v>Classic (kombinálva műanyag vezetéssel)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612" t="str">
        <f>Překlady!A38</f>
        <v>Ráütődő metallic-line vezetéssel 29mm és C3 mech.</v>
      </c>
      <c r="H12" s="612"/>
      <c r="I12" s="612"/>
      <c r="K12" s="612" t="str">
        <f>Překlady!A38</f>
        <v>Ráütődő metallic-line vezetéssel 29mm és C3 mech.</v>
      </c>
      <c r="L12" s="612"/>
      <c r="M12" s="612"/>
      <c r="N12" s="612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610" t="s">
        <v>2007</v>
      </c>
      <c r="E40" s="610"/>
      <c r="F40" s="610"/>
      <c r="I40" s="610" t="s">
        <v>2006</v>
      </c>
      <c r="J40" s="610"/>
      <c r="K40" s="610"/>
    </row>
    <row r="41" spans="4:11" x14ac:dyDescent="0.2">
      <c r="D41" s="221" t="str">
        <f>Překlady!A165</f>
        <v xml:space="preserve">műanyag </v>
      </c>
      <c r="I41" s="221" t="str">
        <f>Překlady!A165</f>
        <v xml:space="preserve">műanyag </v>
      </c>
    </row>
    <row r="42" spans="4:11" x14ac:dyDescent="0.2">
      <c r="D42" s="221" t="str">
        <f>Překlady!A167</f>
        <v>raktáron design fényes fehér színben</v>
      </c>
      <c r="I42" s="221" t="str">
        <f>Překlady!A161</f>
        <v xml:space="preserve">Szín csak  Alumínium műanyag </v>
      </c>
    </row>
    <row r="43" spans="4:11" x14ac:dyDescent="0.2">
      <c r="D43" s="221" t="str">
        <f>Překlady!A160</f>
        <v>elegáns design</v>
      </c>
      <c r="I43" s="221" t="str">
        <f>Překlady!A168</f>
        <v>alkalmas, magas vízszintes mozgáshoz</v>
      </c>
    </row>
    <row r="44" spans="4:11" x14ac:dyDescent="0.2">
      <c r="D44" s="221" t="str">
        <f>Překlady!$A$20</f>
        <v>A vezetési rendszer típusa</v>
      </c>
      <c r="I44" s="221" t="str">
        <f>Překlady!$A$20</f>
        <v>A vezetési rendszer típusa</v>
      </c>
    </row>
    <row r="45" spans="4:11" x14ac:dyDescent="0.2">
      <c r="D45" s="363" t="s">
        <v>2170</v>
      </c>
      <c r="I45" s="363" t="s">
        <v>2170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89" t="str">
        <f>Překlady!$A$14</f>
        <v>Tekercselési rendszer</v>
      </c>
      <c r="C70" s="590"/>
      <c r="D70" s="590"/>
      <c r="E70" s="590"/>
      <c r="F70" s="590"/>
      <c r="G70" s="590"/>
      <c r="H70" s="590"/>
      <c r="I70" s="590"/>
      <c r="J70" s="590"/>
      <c r="K70" s="590"/>
      <c r="L70" s="590"/>
      <c r="M70" s="590"/>
      <c r="N70" s="591"/>
    </row>
    <row r="71" spans="2:14" x14ac:dyDescent="0.2">
      <c r="B71" s="222"/>
      <c r="N71" s="223"/>
    </row>
    <row r="72" spans="2:14" x14ac:dyDescent="0.2">
      <c r="B72" s="222"/>
      <c r="C72" s="599" t="str">
        <f>Překlady!$A$55</f>
        <v>Hátra</v>
      </c>
      <c r="D72" s="599"/>
      <c r="E72" s="599"/>
      <c r="G72" s="598" t="str">
        <f>Překlady!$A$56</f>
        <v>Csigába</v>
      </c>
      <c r="H72" s="598"/>
      <c r="I72" s="227"/>
      <c r="K72" s="598" t="str">
        <f>Překlady!$A$57</f>
        <v>C3 mechanikával</v>
      </c>
      <c r="L72" s="598"/>
      <c r="M72" s="598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592" t="str">
        <f>Překlady!$A$19</f>
        <v>A mozgás iránya</v>
      </c>
      <c r="C85" s="593"/>
      <c r="D85" s="593"/>
      <c r="E85" s="593"/>
      <c r="F85" s="593"/>
      <c r="G85" s="593"/>
      <c r="H85" s="593"/>
      <c r="I85" s="593"/>
      <c r="J85" s="593"/>
      <c r="K85" s="593"/>
      <c r="L85" s="593"/>
      <c r="M85" s="593"/>
      <c r="N85" s="594"/>
    </row>
    <row r="86" spans="2:14" x14ac:dyDescent="0.2">
      <c r="B86" s="222"/>
      <c r="N86" s="223"/>
    </row>
    <row r="87" spans="2:14" ht="13.5" customHeight="1" x14ac:dyDescent="0.2">
      <c r="B87" s="222"/>
      <c r="C87" s="598" t="str">
        <f>Překlady!$A$59</f>
        <v>Horizontális (balról jobbra)</v>
      </c>
      <c r="D87" s="598"/>
      <c r="E87" s="598"/>
      <c r="F87" s="598" t="str">
        <f>Překlady!$A$58</f>
        <v>Függőleges (fentről le)</v>
      </c>
      <c r="G87" s="598"/>
      <c r="H87" s="598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595" t="str">
        <f>Překlady!$A$35</f>
        <v>Vezető rendszer típus</v>
      </c>
      <c r="C102" s="596"/>
      <c r="D102" s="596"/>
      <c r="E102" s="596"/>
      <c r="F102" s="596"/>
      <c r="G102" s="596"/>
      <c r="H102" s="596"/>
      <c r="I102" s="596"/>
      <c r="J102" s="596"/>
      <c r="K102" s="596"/>
      <c r="L102" s="596"/>
      <c r="M102" s="596"/>
      <c r="N102" s="597"/>
    </row>
    <row r="103" spans="2:14" x14ac:dyDescent="0.2">
      <c r="B103" s="222"/>
      <c r="N103" s="223"/>
    </row>
    <row r="104" spans="2:14" x14ac:dyDescent="0.2">
      <c r="B104" s="222"/>
      <c r="C104" s="598" t="str">
        <f>Překlady!$A$36</f>
        <v>TOP basic-közézáródó vezetés csavarozásra műanyag</v>
      </c>
      <c r="D104" s="598"/>
      <c r="E104" s="598"/>
      <c r="H104" s="598" t="str">
        <f>Překlady!$A$37</f>
        <v>Classic - közézáródó vezetés bemarásra</v>
      </c>
      <c r="I104" s="598"/>
      <c r="J104" s="598"/>
      <c r="K104" s="598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00" t="str">
        <f>Překlady!$A$104</f>
        <v xml:space="preserve">Rendszer rácsavarozásra. A vezető profilok csak a legközelebb álló uni színben vannak. </v>
      </c>
      <c r="D122" s="600"/>
      <c r="E122" s="600"/>
      <c r="F122" s="600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32"/>
      <c r="D123" s="532"/>
      <c r="E123" s="532"/>
      <c r="N123" s="223"/>
    </row>
    <row r="124" spans="2:14" ht="27.75" customHeight="1" x14ac:dyDescent="0.2">
      <c r="B124" s="222"/>
      <c r="C124" s="609" t="str">
        <f>Překlady!$A$86</f>
        <v>TOP - közzézáródó vezetés csavarozásra fém takaró léccel</v>
      </c>
      <c r="D124" s="609"/>
      <c r="E124" s="609"/>
      <c r="F124" s="609"/>
      <c r="G124" s="607" t="str">
        <f>Překlady!$A$85</f>
        <v xml:space="preserve">Frame - ráütődő takaró léces vezetéssel </v>
      </c>
      <c r="H124" s="607"/>
      <c r="I124" s="607"/>
      <c r="J124" s="224"/>
      <c r="K124" s="608" t="str">
        <f>Překlady!$A$38</f>
        <v>Ráütődő metallic-line vezetéssel 29mm és C3 mech.</v>
      </c>
      <c r="L124" s="608"/>
      <c r="M124" s="608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588" t="str">
        <f>Překlady!$A$99</f>
        <v>Rendszer rácsavarozásra.  Olyan rendszerről van szó, amihez ALU vezető lécek tartoznak, amelyeknek a takarója identikus a redőny dekorral.</v>
      </c>
      <c r="D140" s="588"/>
      <c r="E140" s="588"/>
      <c r="G140" s="588" t="str">
        <f>CONCATENATE(Překlady!$A$100," ",Překlady!$A$101)</f>
        <v>Ráépítet rendszer (FRAME). A vezető rendszer két részből áll- ALU lécek és takarók, amelyek színben azonosak a felhasznált redőny dekorral 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H140" s="588"/>
      <c r="I140" s="588"/>
      <c r="J140" s="287"/>
      <c r="K140" s="588" t="str">
        <f>Překlady!$A$173</f>
        <v>Ráütődő vezetésű  (29mm). Aluminium  és nemesacél színben,Metallic line profilban C3 mechanikával kombinálva.A beszerelés előtt szükséges a vezető léct beállítani az alábbi rajz szerint.</v>
      </c>
      <c r="L140" s="588"/>
      <c r="M140" s="588"/>
      <c r="N140" s="223"/>
    </row>
    <row r="141" spans="2:14" x14ac:dyDescent="0.2">
      <c r="B141" s="222"/>
      <c r="C141" s="588"/>
      <c r="D141" s="588"/>
      <c r="E141" s="588"/>
      <c r="G141" s="588"/>
      <c r="H141" s="588"/>
      <c r="I141" s="588"/>
      <c r="J141" s="287"/>
      <c r="K141" s="588"/>
      <c r="L141" s="588"/>
      <c r="M141" s="588"/>
      <c r="N141" s="223"/>
    </row>
    <row r="142" spans="2:14" x14ac:dyDescent="0.2">
      <c r="B142" s="222"/>
      <c r="C142" s="588"/>
      <c r="D142" s="588"/>
      <c r="E142" s="588"/>
      <c r="G142" s="588"/>
      <c r="H142" s="588"/>
      <c r="I142" s="588"/>
      <c r="J142" s="287"/>
      <c r="K142" s="588"/>
      <c r="L142" s="588"/>
      <c r="M142" s="588"/>
      <c r="N142" s="223"/>
    </row>
    <row r="143" spans="2:14" x14ac:dyDescent="0.2">
      <c r="B143" s="222"/>
      <c r="C143" s="588"/>
      <c r="D143" s="588"/>
      <c r="E143" s="588"/>
      <c r="G143" s="588"/>
      <c r="H143" s="588"/>
      <c r="I143" s="588"/>
      <c r="J143" s="287"/>
      <c r="K143" s="588"/>
      <c r="L143" s="588"/>
      <c r="M143" s="588"/>
      <c r="N143" s="223"/>
    </row>
    <row r="144" spans="2:14" x14ac:dyDescent="0.2">
      <c r="B144" s="222"/>
      <c r="C144" s="588"/>
      <c r="D144" s="588"/>
      <c r="E144" s="588"/>
      <c r="G144" s="588"/>
      <c r="H144" s="588"/>
      <c r="I144" s="588"/>
      <c r="J144" s="287"/>
      <c r="K144" s="588"/>
      <c r="L144" s="588"/>
      <c r="M144" s="588"/>
      <c r="N144" s="223"/>
    </row>
    <row r="145" spans="2:14" x14ac:dyDescent="0.2">
      <c r="B145" s="222"/>
      <c r="C145" s="588"/>
      <c r="D145" s="588"/>
      <c r="E145" s="588"/>
      <c r="G145" s="588"/>
      <c r="H145" s="588"/>
      <c r="I145" s="588"/>
      <c r="J145" s="287"/>
      <c r="K145" s="588"/>
      <c r="L145" s="588"/>
      <c r="M145" s="588"/>
      <c r="N145" s="223"/>
    </row>
    <row r="146" spans="2:14" x14ac:dyDescent="0.2">
      <c r="B146" s="222"/>
      <c r="C146" s="588"/>
      <c r="D146" s="588"/>
      <c r="E146" s="588"/>
      <c r="G146" s="588"/>
      <c r="H146" s="588"/>
      <c r="I146" s="588"/>
      <c r="J146" s="287"/>
      <c r="K146" s="588"/>
      <c r="L146" s="588"/>
      <c r="M146" s="588"/>
      <c r="N146" s="223"/>
    </row>
    <row r="147" spans="2:14" x14ac:dyDescent="0.2">
      <c r="B147" s="222"/>
      <c r="C147" s="588"/>
      <c r="D147" s="588"/>
      <c r="E147" s="588"/>
      <c r="G147" s="588"/>
      <c r="H147" s="588"/>
      <c r="I147" s="588"/>
      <c r="J147" s="287"/>
      <c r="K147" s="588"/>
      <c r="L147" s="588"/>
      <c r="M147" s="588"/>
      <c r="N147" s="223"/>
    </row>
    <row r="148" spans="2:14" ht="137.25" customHeight="1" x14ac:dyDescent="0.2">
      <c r="B148" s="222"/>
      <c r="C148" s="588"/>
      <c r="D148" s="588"/>
      <c r="E148" s="588"/>
      <c r="G148" s="588"/>
      <c r="H148" s="588"/>
      <c r="I148" s="588"/>
      <c r="J148" s="287"/>
      <c r="K148" s="588"/>
      <c r="L148" s="588"/>
      <c r="M148" s="588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595" t="str">
        <f>Překlady!$A$21</f>
        <v>Szín</v>
      </c>
      <c r="C151" s="596"/>
      <c r="D151" s="596"/>
      <c r="E151" s="596"/>
      <c r="F151" s="596"/>
      <c r="G151" s="596"/>
      <c r="H151" s="596"/>
      <c r="I151" s="596"/>
      <c r="J151" s="596"/>
      <c r="K151" s="596"/>
      <c r="L151" s="596"/>
      <c r="M151" s="596"/>
      <c r="N151" s="597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ALU (metallic-line)</v>
      </c>
      <c r="F153" s="227" t="str">
        <f>Překlady!$A$61</f>
        <v>Fehér (E23)</v>
      </c>
      <c r="I153" s="227" t="str">
        <f>Překlady!$A$63</f>
        <v>Alumínium-műanyag (E23)</v>
      </c>
      <c r="M153" s="227" t="str">
        <f>Překlady!$A$68</f>
        <v>Cseresznye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Nemes acél (metallic-line)</v>
      </c>
      <c r="F158" s="227" t="str">
        <f>Překlady!$A$62</f>
        <v>Szürke (E23)</v>
      </c>
      <c r="I158" s="227" t="str">
        <f>Překlady!$A$67</f>
        <v>Nyír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Fekete (E23)</v>
      </c>
      <c r="I163" s="227" t="str">
        <f>Překlady!$A$66</f>
        <v>Jávor (E23)</v>
      </c>
      <c r="M163" s="227" t="str">
        <f>Překlady!$A$65</f>
        <v>Cseresznye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Bükk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Ver. 25.02</v>
      </c>
      <c r="G172" s="225"/>
      <c r="H172" s="225"/>
      <c r="I172" s="225"/>
      <c r="J172" s="225"/>
      <c r="K172" s="225"/>
      <c r="L172" s="605" t="str">
        <f>Překlady!$A$102</f>
        <v>A színes nézetek csak tájékoztató jellegűek</v>
      </c>
      <c r="M172" s="605"/>
      <c r="N172" s="606"/>
      <c r="O172" s="226"/>
      <c r="P172" s="226"/>
    </row>
    <row r="173" spans="2:16" ht="26.25" customHeight="1" x14ac:dyDescent="0.2">
      <c r="B173" s="601" t="str">
        <f>Překlady!$A$103</f>
        <v>A szerelési útmutató megtalálható a honlapunkon www.demos24plus.com</v>
      </c>
      <c r="C173" s="602"/>
      <c r="D173" s="602"/>
      <c r="E173" s="602"/>
      <c r="F173" s="602"/>
      <c r="G173" s="602"/>
      <c r="H173" s="602"/>
      <c r="I173" s="602"/>
      <c r="J173" s="602"/>
      <c r="K173" s="602"/>
      <c r="L173" s="603" t="s">
        <v>1532</v>
      </c>
      <c r="M173" s="603"/>
      <c r="N173" s="604"/>
    </row>
  </sheetData>
  <sheetProtection algorithmName="SHA-512" hashValue="Yb8Zmk7kBcfwM/53c5qN5NLCEwpuTZpjfl94tdTzP9vzpIGWjlcaJ7rM6rLK49g/iUyGNhUlOMgIqHRf0ZK4yQ==" saltValue="vylKdI3yBDzD5AAQYiXYwQ==" spinCount="100000" sheet="1" objects="1" scenarios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zoomScale="85" zoomScaleNormal="85" workbookViewId="0">
      <selection activeCell="AB3" sqref="AB3"/>
    </sheetView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14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8538.30429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4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basic-közézáródó vezetés csavarozásra műanyag</v>
      </c>
      <c r="AG2" s="193" t="str">
        <f>$R$4</f>
        <v>Classic - közézáródó vezetés bemarásra</v>
      </c>
      <c r="AH2" s="193" t="str">
        <f>$R$5</f>
        <v xml:space="preserve">Frame - ráütődő takaró léces vezetéssel </v>
      </c>
      <c r="AI2" s="193" t="str">
        <f>$R$6</f>
        <v>TOP - közzézáródó vezetés csavarozásra fém takaró léccel</v>
      </c>
      <c r="AJ2" s="193" t="str">
        <f>$R$7</f>
        <v>Ráütődő metallic-line vezetéssel 29mm és C3 mech.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basic-közézáródó vezetés csavarozásra műanyag</v>
      </c>
      <c r="S3" s="252" t="s">
        <v>2133</v>
      </c>
      <c r="T3" s="253">
        <v>1</v>
      </c>
      <c r="U3" s="318" t="s">
        <v>1930</v>
      </c>
      <c r="V3" s="252">
        <v>1</v>
      </c>
      <c r="W3" s="252" t="str">
        <f>Překlady!A60</f>
        <v>Fekete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Hosszabbító adapter C3 mechanikához</v>
      </c>
      <c r="AC3" s="91">
        <f>$AB$1*AD3</f>
        <v>8538.30429</v>
      </c>
      <c r="AD3" s="91">
        <f>VLOOKUP(AA3,$Z$246:$AJ$508,(5+$AE$1),0)</f>
        <v>8538.30429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közézáródó vezetés bemarásra</v>
      </c>
      <c r="S4" s="205" t="s">
        <v>2134</v>
      </c>
      <c r="T4" s="205" t="str">
        <f>VLOOKUP(VEDENI,Q3:S7,3,FALSE)</f>
        <v>A</v>
      </c>
      <c r="U4" s="205"/>
      <c r="V4" s="205">
        <v>2</v>
      </c>
      <c r="W4" s="205" t="str">
        <f>Překlady!A61</f>
        <v>Fehér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6" t="s">
        <v>358</v>
      </c>
      <c r="AP4" s="614"/>
      <c r="AQ4" s="44" t="s">
        <v>357</v>
      </c>
      <c r="AR4" s="43" t="s">
        <v>360</v>
      </c>
      <c r="AS4" s="44" t="s">
        <v>359</v>
      </c>
      <c r="AT4" s="416" t="s">
        <v>361</v>
      </c>
      <c r="AU4" s="384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 xml:space="preserve">Frame - ráütődő takaró léces vezetéssel </v>
      </c>
      <c r="S5" s="205" t="s">
        <v>2135</v>
      </c>
      <c r="T5" s="205"/>
      <c r="U5" s="205"/>
      <c r="V5" s="205">
        <v>3</v>
      </c>
      <c r="W5" s="205" t="str">
        <f>Překlady!A62</f>
        <v>Szürke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C3 mechanika tartó fém</v>
      </c>
      <c r="AC5" s="91">
        <f>$AB$1*AD5</f>
        <v>1162.9090000000001</v>
      </c>
      <c r="AD5" s="91">
        <f>VLOOKUP(AA5,$Z$246:$AJ$508,(5+$AE$1),0)</f>
        <v>1162.9090000000001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Redőnyprofil E23 fekete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1566.0046400000001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Redőnyprofil E23 fekete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1566.0046400000001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közzézáródó vezetés csavarozásra fém takaró léccel</v>
      </c>
      <c r="S6" s="205" t="s">
        <v>1926</v>
      </c>
      <c r="T6" s="205"/>
      <c r="U6" s="205"/>
      <c r="V6" s="205">
        <v>4</v>
      </c>
      <c r="W6" s="205" t="str">
        <f>Překlady!A63</f>
        <v>Alumínium-műanyag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Csúszka végzáró profilhoz Alu 27 mm fekete</v>
      </c>
      <c r="AC6" s="91">
        <f>$AB$1*AD6</f>
        <v>519.70703000000003</v>
      </c>
      <c r="AD6" s="91">
        <f>VLOOKUP(AA6,$Z$246:$AJ$508,(5+$AE$1),0)</f>
        <v>519.70703000000003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Redőnyprofil Metal-line 20 mm nemesacél 360L</v>
      </c>
      <c r="BA6" s="27">
        <f>IF(BARVA=9,výpočty!AC120,
IF(BARVA=10,výpočty!AC115,
IF(BARVA=12,AC205,
IF(BARVA=13,AC201,
IF(BARVA=15,výpočty!AC91,
IF(BARVA=16,výpočty!AC92,výpočty!AC92))))))</f>
        <v>1630.4189699999999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Ráütődő metallic-line vezetéssel 29mm és C3 mech.</v>
      </c>
      <c r="S7" s="205" t="s">
        <v>2132</v>
      </c>
      <c r="T7" s="205"/>
      <c r="U7" s="205"/>
      <c r="V7" s="205">
        <v>5</v>
      </c>
      <c r="W7" s="205" t="str">
        <f>Překlady!A64</f>
        <v>Bükk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Csúszka végzáró profilhoz Alu Kombi szürke</v>
      </c>
      <c r="AC7" s="91">
        <f>$AB$1*AD7</f>
        <v>790.63076000000001</v>
      </c>
      <c r="AD7" s="91">
        <f>VLOOKUP(AA7,$Z$246:$AJ$508,(5+$AE$1),0)</f>
        <v>790.63076000000001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Cseresznye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Hátra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Jávor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Csigába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Nyír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Csúszka R95817-hoz világosszürke</v>
      </c>
      <c r="AC10" s="91">
        <f t="shared" si="2"/>
        <v>1056.44956</v>
      </c>
      <c r="AD10" s="91">
        <f t="shared" si="3"/>
        <v>1056.44956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6" t="s">
        <v>358</v>
      </c>
      <c r="AP10" s="614"/>
      <c r="AQ10" s="44" t="s">
        <v>357</v>
      </c>
      <c r="AR10" s="43" t="s">
        <v>360</v>
      </c>
      <c r="AS10" s="44" t="s">
        <v>359</v>
      </c>
      <c r="AT10" s="416" t="s">
        <v>361</v>
      </c>
      <c r="AU10" s="384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C3 mechanikával</v>
      </c>
      <c r="S11" s="205" t="s">
        <v>2138</v>
      </c>
      <c r="T11" s="205"/>
      <c r="U11" s="205"/>
      <c r="V11" s="205">
        <v>9</v>
      </c>
      <c r="W11" s="205" t="str">
        <f>Překlady!A68</f>
        <v>Cseresznye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Csúszka R95817-hoz fekete</v>
      </c>
      <c r="AC11" s="91">
        <f t="shared" si="2"/>
        <v>1056.44956</v>
      </c>
      <c r="AD11" s="91">
        <f t="shared" si="3"/>
        <v>1056.44956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Végzáró profil fekete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5614.7039999999997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Végzáró profil fekete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5614.7039999999997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Csúszka Metallic-line 20 mm fekete</v>
      </c>
      <c r="AC12" s="91">
        <f t="shared" si="2"/>
        <v>48.93674</v>
      </c>
      <c r="AD12" s="91">
        <f t="shared" si="3"/>
        <v>48.93674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Végzáró profil alu Kombi nemesacél 360L</v>
      </c>
      <c r="BA12" s="27">
        <f>IF(BARVA=9,výpočty!AC36,
IF(BARVA=10,výpočty!AC29,
IF(BARVA=12,AC207,
IF(BARVA=15,výpočty!AC23,výpočty!AC25))))</f>
        <v>18235.969939999999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Végzáró profil átnyúlással alu alsó rész alu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14526.7588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Takaró elem végzáró profilhoz átnyúlással fekete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2140.2805499999999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Függőleges (fentről le)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Hófehér Matt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Csúszka közép fogantyú profilra fekete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Takaró elem végzáró profilhoz átnyúlással fekete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2140.2805499999999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nem lehet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Horizontális (balról jobbra)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Alumínium-műanyag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Csúszka 8 mm fékkel világosbarna (bükk)</v>
      </c>
      <c r="AC15" s="91">
        <f t="shared" si="2"/>
        <v>1490.21471</v>
      </c>
      <c r="AD15" s="91">
        <f t="shared" si="3"/>
        <v>1490.21471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Csúszka R95817-hoz fekete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1056.44956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Csúszka R95817-hoz fekete</v>
      </c>
      <c r="BA15" s="115">
        <f>IF(BARVA&lt;3,výpočty!AC11,
IF(BARVA&lt;9,výpočty!AC10,
IF(BARVA=15,výpočty!AC10,výpočty!AC10)))</f>
        <v>1056.44956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Csúszka 8 mm fékkel fehér</v>
      </c>
      <c r="AC16" s="91">
        <f t="shared" si="2"/>
        <v>1490.21471</v>
      </c>
      <c r="AD16" s="91">
        <f t="shared" si="3"/>
        <v>1490.21471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Csúszka 8 mm fékkel fekete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1490.21471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Csúszka 8 mm fekete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690.45730000000003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Csúszka 8 mm fékkel fekete</v>
      </c>
      <c r="AC17" s="91">
        <f t="shared" si="2"/>
        <v>1490.21471</v>
      </c>
      <c r="AD17" s="91">
        <f t="shared" si="3"/>
        <v>1490.21471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Csúszka végzáró profilhoz Alu Kombi szürke</v>
      </c>
      <c r="BA17" s="27">
        <f>IF(BARVA=9,výpočty!AC21,
IF(BARVA=10,výpočty!AC21,
IF(BARVA=11," ",IF(BARVA=15,výpočty!AC7,výpočty!AC7))))</f>
        <v>790.63076000000001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Csúszka 8 mm fékkel szürke</v>
      </c>
      <c r="AC18" s="91">
        <f t="shared" si="2"/>
        <v>1490.21471</v>
      </c>
      <c r="AD18" s="91">
        <f t="shared" si="3"/>
        <v>1490.21471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Csúszka 8 mm fékkel fekete</v>
      </c>
      <c r="BA18">
        <f>IF(NAVIJENI=3,BA16,BD18)</f>
        <v>1490.21471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Csúszka 8 mm fékkel fekete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1490.21471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 szélesség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Csúszka 8 mm fehér</v>
      </c>
      <c r="AC19" s="91">
        <f t="shared" si="2"/>
        <v>690.45730000000003</v>
      </c>
      <c r="AD19" s="91">
        <f t="shared" si="3"/>
        <v>690.45730000000003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Csúszka végzáró profilhoz Alu Kombi szürke</v>
      </c>
      <c r="BA19">
        <f>IF(NAVIJENI=3,BA17,IF(BARVA=9,výpočty!AC15,IF(BARVA=10,výpočty!AC15,IF(BARVA=11," ",IF(BARVA=15,výpočty!AC7,výpočty!AC7)))))</f>
        <v>790.63076000000001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Nemes acél szélesség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Csúszka 8 mm fekete</v>
      </c>
      <c r="AC20" s="91">
        <f t="shared" si="2"/>
        <v>690.45730000000003</v>
      </c>
      <c r="AD20" s="91">
        <f t="shared" si="3"/>
        <v>690.45730000000003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Csúszka 8 mm világosbarna (bükk)</v>
      </c>
      <c r="AC21" s="91">
        <f t="shared" si="2"/>
        <v>690.45730000000003</v>
      </c>
      <c r="AD21" s="91">
        <f t="shared" si="3"/>
        <v>690.45730000000003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6" t="s">
        <v>358</v>
      </c>
      <c r="AP21" s="614"/>
      <c r="AQ21" s="44" t="s">
        <v>357</v>
      </c>
      <c r="AR21" s="43" t="s">
        <v>360</v>
      </c>
      <c r="AS21" s="44" t="s">
        <v>359</v>
      </c>
      <c r="AT21" s="416" t="s">
        <v>361</v>
      </c>
      <c r="AU21" s="384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Fekete (E23)</v>
      </c>
      <c r="T22" s="205"/>
      <c r="U22" s="205"/>
      <c r="V22" s="205"/>
      <c r="W22" s="205" t="str">
        <f>Překlady!A87</f>
        <v>Igen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Csúszka 8 mm szürke</v>
      </c>
      <c r="AC22" s="91">
        <f t="shared" si="2"/>
        <v>690.45730000000003</v>
      </c>
      <c r="AD22" s="91">
        <f t="shared" si="3"/>
        <v>690.45730000000003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Takaró profil uni fekete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3708.7543999999998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Takaró profil uni fekete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3708.7543999999998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Nem</v>
      </c>
      <c r="X23" s="261"/>
      <c r="Y23" s="354"/>
      <c r="Z23">
        <v>665</v>
      </c>
      <c r="AA23" s="90" t="s">
        <v>460</v>
      </c>
      <c r="AB23" s="179" t="str">
        <f t="shared" si="1"/>
        <v>Végzáró profil alu kombi alu 230L</v>
      </c>
      <c r="AC23" s="91">
        <f t="shared" si="2"/>
        <v>13444.753360000001</v>
      </c>
      <c r="AD23" s="91">
        <f t="shared" si="3"/>
        <v>13444.753360000001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Takaró profil nemesacél (profil L) nemesacél 360L</v>
      </c>
      <c r="BA23" s="27">
        <f>IF(BARVA=9,výpočty!AC51,IF(BARVA=10,výpočty!AC45,IF(BARVA=11," ",IF(BARVA=15,výpočty!AC40,výpočty!AC232))))</f>
        <v>12749.518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Végzáró profil alu 27 mm alu 230L</v>
      </c>
      <c r="AC24" s="91">
        <f t="shared" si="2"/>
        <v>11978.07393</v>
      </c>
      <c r="AD24" s="91">
        <f t="shared" si="3"/>
        <v>11978.07393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Takaró profil átnyúlással alu alsó rész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7958.97307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Takaró elem takaró profilhoz átnyúlással - uni fekete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2194.8185699999999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Végzáró profil alu Kombi nemesacél 360L</v>
      </c>
      <c r="AC25" s="91">
        <f t="shared" si="2"/>
        <v>18235.969939999999</v>
      </c>
      <c r="AD25" s="91">
        <f t="shared" si="3"/>
        <v>18235.969939999999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Takaró elem takaró profilhoz átnyúlással - uni fekete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2194.8185699999999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Végzáró profil fehér</v>
      </c>
      <c r="AC26" s="91">
        <f t="shared" si="2"/>
        <v>5614.7039999999997</v>
      </c>
      <c r="AD26" s="91">
        <f t="shared" si="3"/>
        <v>5614.7039999999997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Végzáró profil nyír</v>
      </c>
      <c r="AC27" s="91">
        <f t="shared" si="2"/>
        <v>6542.2302099999997</v>
      </c>
      <c r="AD27" s="91">
        <f t="shared" si="3"/>
        <v>6542.2302099999997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Végzáró profil bükk</v>
      </c>
      <c r="AC28" s="91">
        <f t="shared" si="2"/>
        <v>6542.2302099999997</v>
      </c>
      <c r="AD28" s="91">
        <f t="shared" si="3"/>
        <v>6542.2302099999997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Végzáró profil calvados</v>
      </c>
      <c r="AC29" s="91">
        <f t="shared" si="2"/>
        <v>5026.2763999999997</v>
      </c>
      <c r="AD29" s="91">
        <f t="shared" si="3"/>
        <v>5026.2763999999997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6" t="s">
        <v>358</v>
      </c>
      <c r="AP29" s="614"/>
      <c r="AQ29" s="44" t="s">
        <v>357</v>
      </c>
      <c r="AR29" s="43" t="s">
        <v>360</v>
      </c>
      <c r="AS29" s="44" t="s">
        <v>359</v>
      </c>
      <c r="AT29" s="416" t="s">
        <v>361</v>
      </c>
      <c r="AU29" s="384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Végzáró profil fekete</v>
      </c>
      <c r="AC30" s="91">
        <f t="shared" si="2"/>
        <v>5614.7039999999997</v>
      </c>
      <c r="AD30" s="91">
        <f t="shared" si="3"/>
        <v>5614.7039999999997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Vezető profil csavarozható fekete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1665.58718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Vezető profil csavarozható fekete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1665.58718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Vezető profil sarok csavarozható fekete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474.48766999999998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Végzáró profil alumínium (műanyag)</v>
      </c>
      <c r="AC31" s="91">
        <f t="shared" si="2"/>
        <v>6542.2302099999997</v>
      </c>
      <c r="AD31" s="91">
        <f t="shared" si="3"/>
        <v>6542.2302099999997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Vezető profil sarok csavarozható fekete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474.48766999999998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Vezető profil csavarozható sötétszürke (alumínium)</v>
      </c>
      <c r="BA31" s="117">
        <f>IF(BARVA=9,výpočty!AC167,
IF(BARVA=10,výpočty!AC165,
IF(BARVA=12,AC159,
IF(BARVA=15,výpočty!AC170,výpočty!AC157))))</f>
        <v>1665.58718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Vezető profil sarok csavarozható sötétszürke (alumínium)</v>
      </c>
      <c r="BE31" s="119">
        <f>IF(BARVA=9,výpočty!AC128,IF(BARVA=10,výpočty!AC131,IF(BARVA=11," ",IF(BARVA=15,výpočty!AC133,výpočty!AC122))))</f>
        <v>474.48766999999998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Végzáró profil jávor</v>
      </c>
      <c r="AC32" s="91">
        <f t="shared" si="2"/>
        <v>6542.2302099999997</v>
      </c>
      <c r="AD32" s="91">
        <f t="shared" si="3"/>
        <v>6542.2302099999997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Vezető profil csavarozható fekete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1665.58718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1712.84178</v>
      </c>
      <c r="C33" s="71">
        <f t="shared" si="5"/>
        <v>4282.1044499999998</v>
      </c>
      <c r="D33" s="71">
        <f t="shared" si="5"/>
        <v>6542.2302099999997</v>
      </c>
      <c r="E33" s="71">
        <f t="shared" si="5"/>
        <v>690.45730000000003</v>
      </c>
      <c r="F33" s="71">
        <f t="shared" si="5"/>
        <v>48.93674</v>
      </c>
      <c r="G33" s="71">
        <f>G57*$F$31</f>
        <v>5022.5858099999996</v>
      </c>
      <c r="H33" s="72"/>
      <c r="I33" s="72" t="s">
        <v>33</v>
      </c>
      <c r="J33" s="70">
        <f t="shared" ref="J33:J38" si="6">J57*$F$31</f>
        <v>1665.58718</v>
      </c>
      <c r="K33" s="72"/>
      <c r="L33" s="71">
        <f t="shared" ref="L33:L39" si="7">L57*$F$31</f>
        <v>4163.9679500000002</v>
      </c>
      <c r="M33" s="72"/>
      <c r="N33" s="71">
        <f>N57*$F$31</f>
        <v>474.48766999999998</v>
      </c>
      <c r="O33" s="69"/>
      <c r="R33" s="135" t="s">
        <v>396</v>
      </c>
      <c r="S33" s="23"/>
      <c r="Z33">
        <v>655</v>
      </c>
      <c r="AA33" s="90" t="s">
        <v>460</v>
      </c>
      <c r="AB33" s="179" t="str">
        <f t="shared" si="1"/>
        <v>Végzáró profil alu kombi alu 230L</v>
      </c>
      <c r="AC33" s="91">
        <f t="shared" si="2"/>
        <v>13444.753360000001</v>
      </c>
      <c r="AD33" s="91">
        <f t="shared" si="3"/>
        <v>13444.753360000001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Vezető csiga 8 mm, kapacitás 670 mm fekete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2485.2811799999999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1566.0046400000001</v>
      </c>
      <c r="C34" s="71">
        <f t="shared" si="5"/>
        <v>3915.0116000000003</v>
      </c>
      <c r="D34" s="71">
        <f t="shared" si="5"/>
        <v>5614.7039999999997</v>
      </c>
      <c r="E34" s="71">
        <f t="shared" si="5"/>
        <v>1490.21471</v>
      </c>
      <c r="F34" s="70"/>
      <c r="G34" s="71">
        <f>G58*$F$31</f>
        <v>3708.7543999999998</v>
      </c>
      <c r="H34" s="72"/>
      <c r="I34" s="72" t="s">
        <v>13</v>
      </c>
      <c r="J34" s="70">
        <f t="shared" si="6"/>
        <v>790.94340999999997</v>
      </c>
      <c r="K34" s="72"/>
      <c r="L34" s="71">
        <f t="shared" si="7"/>
        <v>1977.3585249999999</v>
      </c>
      <c r="M34" s="72"/>
      <c r="N34" s="71">
        <f>N58*$F$31</f>
        <v>424.86153999999999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Végzáró profil átnyúlással alu alsó rész alu</v>
      </c>
      <c r="AC34" s="91">
        <f t="shared" si="2"/>
        <v>14526.7588</v>
      </c>
      <c r="AD34" s="91">
        <f t="shared" si="3"/>
        <v>14526.7588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Vezető csiga 8 mm, kapacitás 670 mm fekete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2485.2811799999999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1604.6512700000001</v>
      </c>
      <c r="C35" s="71">
        <f t="shared" si="5"/>
        <v>4011.6281750000003</v>
      </c>
      <c r="D35" s="71">
        <f t="shared" si="5"/>
        <v>13444.753360000001</v>
      </c>
      <c r="E35" s="71">
        <f t="shared" si="5"/>
        <v>790.63076000000001</v>
      </c>
      <c r="F35" s="70"/>
      <c r="G35" s="71">
        <f>G59*$F$31</f>
        <v>9324.1385699999992</v>
      </c>
      <c r="H35" s="72"/>
      <c r="I35" s="72" t="s">
        <v>38</v>
      </c>
      <c r="J35" s="70">
        <f t="shared" si="6"/>
        <v>0</v>
      </c>
      <c r="K35" s="70">
        <f>K59*$F$31</f>
        <v>1975.53809</v>
      </c>
      <c r="L35" s="71">
        <f t="shared" si="7"/>
        <v>4938.845225</v>
      </c>
      <c r="M35" s="72"/>
      <c r="N35" s="71">
        <f>N59*$F$31</f>
        <v>540.77453000000003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Végzáró profil szürke</v>
      </c>
      <c r="AC35" s="91">
        <f t="shared" si="2"/>
        <v>5614.7039999999997</v>
      </c>
      <c r="AD35" s="91">
        <f t="shared" si="3"/>
        <v>5614.7039999999997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Vezető csiga 8 mm, kapacitás 670 mm fekete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2485.2811799999999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1630.4189699999999</v>
      </c>
      <c r="C36" s="71">
        <f>C60*$F$31</f>
        <v>4076.0474249999997</v>
      </c>
      <c r="D36" s="71">
        <f>D60*$F$31</f>
        <v>18235.969939999999</v>
      </c>
      <c r="E36" s="71">
        <f>E60*$F$31</f>
        <v>790.63076000000001</v>
      </c>
      <c r="F36" s="70"/>
      <c r="G36" s="71">
        <f>G60*$F$31</f>
        <v>20782.16863</v>
      </c>
      <c r="H36" s="72"/>
      <c r="I36" s="72" t="s">
        <v>39</v>
      </c>
      <c r="J36" s="70">
        <f t="shared" si="6"/>
        <v>0</v>
      </c>
      <c r="K36" s="70">
        <f>K60*$F$31</f>
        <v>1510.06134</v>
      </c>
      <c r="L36" s="71">
        <f t="shared" si="7"/>
        <v>3775.15335</v>
      </c>
      <c r="M36" s="70"/>
      <c r="N36" s="71">
        <f>N60*$F$31</f>
        <v>540.77453000000003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Végzáró profil cseresznye Havanna</v>
      </c>
      <c r="AC36" s="91">
        <f t="shared" si="2"/>
        <v>5026.2763999999997</v>
      </c>
      <c r="AD36" s="91">
        <f t="shared" si="3"/>
        <v>5026.2763999999997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A C3 mech.nem használható!</v>
      </c>
      <c r="AQ36" t="str">
        <f>AO36</f>
        <v>A C3 mech.nem használható!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4250.2179400000005</v>
      </c>
      <c r="L37" s="71">
        <f t="shared" si="7"/>
        <v>10625.544850000002</v>
      </c>
      <c r="M37" s="70"/>
      <c r="N37" s="71">
        <f>N61*$F$31</f>
        <v>540.77453000000003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Végzáró profil cseresznye</v>
      </c>
      <c r="AC37" s="91">
        <f t="shared" si="2"/>
        <v>6542.2302099999997</v>
      </c>
      <c r="AD37" s="91">
        <f t="shared" si="3"/>
        <v>6542.2302099999997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7469.5329899999997</v>
      </c>
      <c r="L38" s="71">
        <f t="shared" si="7"/>
        <v>18673.832474999999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5331.5343800000001</v>
      </c>
      <c r="K39" s="74" t="s">
        <v>124</v>
      </c>
      <c r="L39" s="71">
        <f t="shared" si="7"/>
        <v>5331.5343800000001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Takaró profil átnyúlással alu 230L</v>
      </c>
      <c r="AC39" s="91">
        <f t="shared" ref="AC39:AC61" si="10">$AB$1*AD39</f>
        <v>15054.066199999999</v>
      </c>
      <c r="AD39" s="91">
        <f t="shared" ref="AD39:AD61" si="11">VLOOKUP(AA39,$Z$246:$AJ$508,(5+$AE$1),0)</f>
        <v>15054.066199999999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13444.753360000001</v>
      </c>
      <c r="E40" s="73">
        <f>E64*$F$31</f>
        <v>790.63076000000001</v>
      </c>
      <c r="F40" s="68" t="s">
        <v>85</v>
      </c>
      <c r="G40" s="71">
        <f>G64*$F$31</f>
        <v>15054.066199999999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540.77453000000003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Takaró profil alu (profil L) alu 230L</v>
      </c>
      <c r="AC40" s="91">
        <f t="shared" si="10"/>
        <v>9324.1385699999992</v>
      </c>
      <c r="AD40" s="91">
        <f t="shared" si="11"/>
        <v>9324.1385699999992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6" t="s">
        <v>358</v>
      </c>
      <c r="AP40" s="614"/>
      <c r="AQ40" s="44" t="s">
        <v>357</v>
      </c>
      <c r="AR40" s="43" t="s">
        <v>360</v>
      </c>
      <c r="AS40" s="44" t="s">
        <v>359</v>
      </c>
      <c r="AT40" s="416" t="s">
        <v>361</v>
      </c>
      <c r="AU40" s="384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18235.969939999999</v>
      </c>
      <c r="E41" s="72"/>
      <c r="F41" s="68" t="s">
        <v>86</v>
      </c>
      <c r="G41" s="71">
        <f>G65*$F$31</f>
        <v>20782.16863</v>
      </c>
      <c r="H41" s="72"/>
      <c r="I41" s="72" t="s">
        <v>41</v>
      </c>
      <c r="J41" s="70">
        <f t="shared" si="8"/>
        <v>0</v>
      </c>
      <c r="K41" s="70">
        <f t="shared" si="12"/>
        <v>1947.4772399999999</v>
      </c>
      <c r="L41" s="71">
        <f t="shared" si="12"/>
        <v>4868.6930999999995</v>
      </c>
      <c r="M41" s="70"/>
      <c r="N41" s="71">
        <f>N65*$F$31</f>
        <v>540.77453000000003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Takaró profil átnyúlással alu nemesacél 360L</v>
      </c>
      <c r="AC41" s="91">
        <f t="shared" si="10"/>
        <v>20782.16863</v>
      </c>
      <c r="AD41" s="91">
        <f t="shared" si="11"/>
        <v>20782.16863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Vezető profil 8 mm bemarásra fekete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5280.4229800000003</v>
      </c>
      <c r="L42" s="71">
        <f t="shared" si="12"/>
        <v>13201.05745</v>
      </c>
      <c r="M42" s="70"/>
      <c r="N42" s="71">
        <f>N66*$F$31</f>
        <v>540.77453000000003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Takaró profil uni fehér</v>
      </c>
      <c r="AC42" s="91">
        <f t="shared" si="10"/>
        <v>3708.7543999999998</v>
      </c>
      <c r="AD42" s="91">
        <f t="shared" si="11"/>
        <v>3708.7543999999998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Vezető profilsarok 90 ° 8 mm fekete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424.86153999999999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13878.509319999999</v>
      </c>
      <c r="D43" s="70">
        <f>D67*$F$31</f>
        <v>15278.590340000001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9349.6940900000009</v>
      </c>
      <c r="L43" s="71">
        <f t="shared" si="12"/>
        <v>23374.235225000004</v>
      </c>
      <c r="M43" s="70"/>
      <c r="N43" s="71">
        <f>N67*$F$31</f>
        <v>540.77453000000003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Takaró profil dekor nyír</v>
      </c>
      <c r="AC43" s="91">
        <f t="shared" si="10"/>
        <v>5022.5858099999996</v>
      </c>
      <c r="AD43" s="91">
        <f t="shared" si="11"/>
        <v>5022.5858099999996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Vezető profil 8 mm bemarásra fekete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506.54802000000001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8834.2516899999991</v>
      </c>
      <c r="K44" s="74" t="s">
        <v>124</v>
      </c>
      <c r="L44" s="71">
        <f t="shared" si="12"/>
        <v>8834.2516899999991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Takaró profil dekor bükk</v>
      </c>
      <c r="AC44" s="91">
        <f t="shared" si="10"/>
        <v>5022.5858099999996</v>
      </c>
      <c r="AD44" s="91">
        <f t="shared" si="11"/>
        <v>5022.5858099999996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Vezető csiga 8 mm, kapacitás 670 mm fekete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2485.2811799999999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2264.4077699999998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Takaró profil dekor calvados</v>
      </c>
      <c r="AC45" s="91">
        <f t="shared" si="10"/>
        <v>3858.8182200000001</v>
      </c>
      <c r="AD45" s="91">
        <f t="shared" si="11"/>
        <v>3858.8182200000001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Vezető csiga 8 mm, kapacitás 670 mm fekete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2485.2811799999999</v>
      </c>
      <c r="AV45" s="120">
        <f>AT45*AR44</f>
        <v>0</v>
      </c>
    </row>
    <row r="46" spans="1:56" x14ac:dyDescent="0.2">
      <c r="A46" s="67"/>
      <c r="B46" s="72"/>
      <c r="C46" s="615" t="s">
        <v>35</v>
      </c>
      <c r="D46" s="615"/>
      <c r="E46" s="615"/>
      <c r="F46" s="72"/>
      <c r="G46" s="615" t="s">
        <v>34</v>
      </c>
      <c r="H46" s="615"/>
      <c r="I46" s="615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Takaró profil uni fekete</v>
      </c>
      <c r="AC46" s="91">
        <f t="shared" si="10"/>
        <v>3708.7543999999998</v>
      </c>
      <c r="AD46" s="91">
        <f t="shared" si="11"/>
        <v>3708.7543999999998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Vezető csiga 8 mm, kapacitás 670 mm fekete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2485.2811799999999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Takaró profil dekor alumínium (műanyag)</v>
      </c>
      <c r="AC47" s="91">
        <f t="shared" si="10"/>
        <v>5022.5858099999996</v>
      </c>
      <c r="AD47" s="91">
        <f t="shared" si="11"/>
        <v>5022.5858099999996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14526.7588</v>
      </c>
      <c r="D48" s="70">
        <f t="shared" si="13"/>
        <v>2140.2805499999999</v>
      </c>
      <c r="E48" s="75">
        <f t="shared" si="13"/>
        <v>16667.039349999999</v>
      </c>
      <c r="F48" s="75" t="e">
        <f t="shared" si="13"/>
        <v>#N/A</v>
      </c>
      <c r="G48" s="70">
        <f t="shared" ref="G48:I49" si="14">G72*$F$31</f>
        <v>7958.97307</v>
      </c>
      <c r="H48" s="70">
        <f t="shared" si="14"/>
        <v>2194.8185699999999</v>
      </c>
      <c r="I48" s="75">
        <f t="shared" si="14"/>
        <v>10153.791639999999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Takaró profil dekor jávor</v>
      </c>
      <c r="AC48" s="91">
        <f t="shared" si="10"/>
        <v>5022.5858099999996</v>
      </c>
      <c r="AD48" s="91">
        <f t="shared" si="11"/>
        <v>5022.5858099999996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14526.7588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7958.97307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Takaró profil átnyúlással alu alsó rész</v>
      </c>
      <c r="AC49" s="91">
        <f t="shared" si="10"/>
        <v>7958.97307</v>
      </c>
      <c r="AD49" s="91">
        <f t="shared" si="11"/>
        <v>7958.97307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Takaró profil uni szürke</v>
      </c>
      <c r="AC50" s="91">
        <f t="shared" si="10"/>
        <v>3708.7543999999998</v>
      </c>
      <c r="AD50" s="91">
        <f t="shared" si="11"/>
        <v>3708.7543999999998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6" t="s">
        <v>358</v>
      </c>
      <c r="AP50" s="614"/>
      <c r="AQ50" s="44" t="s">
        <v>357</v>
      </c>
      <c r="AR50" s="43" t="s">
        <v>360</v>
      </c>
      <c r="AS50" s="44" t="s">
        <v>359</v>
      </c>
      <c r="AT50" s="416" t="s">
        <v>361</v>
      </c>
      <c r="AU50" s="384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Takaró profil dekor cseresznye Havanna</v>
      </c>
      <c r="AC51" s="91">
        <f t="shared" si="10"/>
        <v>3858.8182200000001</v>
      </c>
      <c r="AD51" s="91">
        <f t="shared" si="11"/>
        <v>3858.8182200000001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Vezető profil csavarozható fekete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1665.58718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Vezető profil csavarozható fekete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1665.58718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Takaró profil dekor cseresznye</v>
      </c>
      <c r="AC52" s="91">
        <f t="shared" si="10"/>
        <v>5022.5858099999996</v>
      </c>
      <c r="AD52" s="91">
        <f t="shared" si="11"/>
        <v>5022.5858099999996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 xml:space="preserve"> </v>
      </c>
      <c r="AP52" s="121"/>
      <c r="AQ52" s="121" t="str">
        <f>IF(VEDENI=3,AA162,
IF(VEDENI=4,AA171,
IF(VEDENI=5,
IF(BARVA=16,AA156,AA155)," ")))</f>
        <v xml:space="preserve"> </v>
      </c>
      <c r="AR52" s="121">
        <f>IF(SMER=1,IF($T$3&gt;4,OBJ_KUSY*G16,OBJ_KUSY*G15),OBJ_KUSY*G27)</f>
        <v>0</v>
      </c>
      <c r="AS52" s="121" t="s">
        <v>124</v>
      </c>
      <c r="AT52" s="121" t="str">
        <f>IF(VEDENI=3,AC162,
IF(VEDENI=4,AC171,
IF(VEDENI=5,
IF(BARVA=16,AC156,AC155)," ")))</f>
        <v xml:space="preserve"> </v>
      </c>
      <c r="AU52" s="121"/>
      <c r="AV52" s="121" t="str">
        <f>IF(VEDENI=3,AT52*AR52,IF(VEDENI=4,AT52*AR52,IF(VEDENI=5,AT52*AR52," ")))</f>
        <v xml:space="preserve"> 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Vezető profil csavarozható sötétszürke (alumínium)</v>
      </c>
      <c r="BA52" s="139">
        <f>IF(BARVA=9,výpočty!AC167,
IF(BARVA=10,výpočty!AC165,
IF(BARVA=12,AC158,
IF(BARVA=15,výpočty!AC170,výpočty!AC157))))</f>
        <v>1665.58718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Takaró profil Frame szürke</v>
      </c>
      <c r="AC53" s="91">
        <f t="shared" si="10"/>
        <v>1947.4772399999999</v>
      </c>
      <c r="AD53" s="91">
        <f t="shared" si="11"/>
        <v>1947.4772399999999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 xml:space="preserve"> </v>
      </c>
      <c r="AQ53" t="str">
        <f>IF(VEDENI=3,IF(výpočty!$S$22=0,AY54,AY53),IF(VEDENI=4,IF(výpočty!$S$22=0,AY56,AY55)," "))</f>
        <v xml:space="preserve"> </v>
      </c>
      <c r="AR53" t="str">
        <f>IF(VEDENI&lt;3," ",IF(VEDENI=5," ",IF(SMER=1,OBJ_KUSY*G14*2.5,OBJ_KUSY*G26*2.5)))</f>
        <v xml:space="preserve"> </v>
      </c>
      <c r="AS53" t="s">
        <v>124</v>
      </c>
      <c r="AT53" t="str">
        <f>IF(VEDENI=3,IF(výpočty!$S$22=0,BA54,BA53),IF(VEDENI=4,IF(výpočty!$S$22=0,BA56,BA55)," "))</f>
        <v xml:space="preserve"> </v>
      </c>
      <c r="AV53" t="str">
        <f>IF(VEDENI=3,IF(výpočty!$S$22=0,AT53*AR53,AT53*AR53),IF(VEDENI=4,IF(výpočty!$S$22=0,AT53*AR53,AT53*AR53)," "))</f>
        <v xml:space="preserve"> 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Takaró profil Frame fekete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1947.4772399999999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Végzáró Frame fekete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2264.4077699999998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Takaró profil Frame fehér</v>
      </c>
      <c r="AC54" s="91">
        <f t="shared" si="10"/>
        <v>1947.4772399999999</v>
      </c>
      <c r="AD54" s="91">
        <f t="shared" si="11"/>
        <v>1947.4772399999999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 xml:space="preserve"> </v>
      </c>
      <c r="AQ54" t="str">
        <f>IF(VEDENI=3,
IF(výpočty!$BC$53=0,BC54,BC53),
IF(VEDENI=3,výpočty!AA198,
IF(VEDENI=5,BC55," ")))</f>
        <v xml:space="preserve"> </v>
      </c>
      <c r="AR54" t="str">
        <f>IF(VEDENI=3,1*OBJ_KUSY,IF(VEDENI=5,2*OBJ_KUSY," "))</f>
        <v xml:space="preserve"> </v>
      </c>
      <c r="AT54" t="str">
        <f>IF(VEDENI=3,IF(výpočty!$BE$53=0,BE54,BE53),IF(VEDENI=3,výpočty!AC198,IF(VEDENI=5,BE55," ")))</f>
        <v xml:space="preserve"> </v>
      </c>
      <c r="AV54" t="str">
        <f>IF(VEDENI=3,AT54*AR54,IF(VEDENI=5,AT54*AR54," "))</f>
        <v xml:space="preserve"> 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Takaró profil Frame nyír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Vezető csiga Top/Frame, kapacitás 1240 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3233.0147999999999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Takaró profil Top fekete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1510.06134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Végzáró vezető profilra R92846 balos</v>
      </c>
      <c r="BE55" s="126">
        <f>IF(BARVA&lt;13,výpočty!AC197,výpočty!AC198)</f>
        <v>253.27401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Vezető profilsarok 90 ° Top/Frame</v>
      </c>
      <c r="AQ56" t="str">
        <f>AA211</f>
        <v>R95799</v>
      </c>
      <c r="AR56">
        <f>IF(T9=1,4*OBJ_KUSY,0)</f>
        <v>0</v>
      </c>
      <c r="AT56">
        <f>AC211</f>
        <v>540.77453000000003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nem lehet</v>
      </c>
      <c r="AZ56" s="125" t="str">
        <f>IF(BARVA=9,výpočty!AB222,
IF(BARVA=10,výpočty!AB223,
IF(BARVA=12,AB209,
IF(BARVA=16,výpočty!AB224,
IF(BARVA=15,výpočty!AB68,Překlady!$A$84)))))</f>
        <v>nem lehet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1712.84178</v>
      </c>
      <c r="C57" s="81">
        <f>B57*2.5</f>
        <v>4282.1044499999998</v>
      </c>
      <c r="D57" s="81">
        <f>AD27</f>
        <v>6542.2302099999997</v>
      </c>
      <c r="E57" s="81">
        <f>AD19</f>
        <v>690.45730000000003</v>
      </c>
      <c r="F57" s="82">
        <f>AD12</f>
        <v>48.93674</v>
      </c>
      <c r="G57" s="81">
        <f>AD43</f>
        <v>5022.5858099999996</v>
      </c>
      <c r="H57" s="68"/>
      <c r="I57" s="68" t="s">
        <v>33</v>
      </c>
      <c r="J57" s="68">
        <f>AD157</f>
        <v>1665.58718</v>
      </c>
      <c r="K57" s="68"/>
      <c r="L57" s="81">
        <f t="shared" ref="L57:L67" si="15">2.5*(K57+J57)</f>
        <v>4163.9679500000002</v>
      </c>
      <c r="M57" s="68"/>
      <c r="N57" s="81">
        <f>AD127</f>
        <v>474.48766999999998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Takaró profil Frame fekete</v>
      </c>
      <c r="AC57" s="91">
        <f t="shared" si="10"/>
        <v>1947.4772399999999</v>
      </c>
      <c r="AD57" s="91">
        <f t="shared" si="11"/>
        <v>1947.4772399999999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1566.0046400000001</v>
      </c>
      <c r="C58" s="83">
        <f>B58*2.5</f>
        <v>3915.0116000000003</v>
      </c>
      <c r="D58" s="83">
        <f>AD30</f>
        <v>5614.7039999999997</v>
      </c>
      <c r="E58" s="146">
        <f>AD16</f>
        <v>1490.21471</v>
      </c>
      <c r="F58" s="147" t="s">
        <v>408</v>
      </c>
      <c r="G58" s="83">
        <f>AD46</f>
        <v>3708.7543999999998</v>
      </c>
      <c r="H58" s="68"/>
      <c r="I58" s="68" t="s">
        <v>13</v>
      </c>
      <c r="J58" s="68">
        <f>AD160</f>
        <v>790.94340999999997</v>
      </c>
      <c r="K58" s="68"/>
      <c r="L58" s="83">
        <f t="shared" si="15"/>
        <v>1977.3585249999999</v>
      </c>
      <c r="M58" s="68"/>
      <c r="N58" s="83">
        <f>AD125</f>
        <v>424.86153999999999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Takaró profil Frame Alu 230L</v>
      </c>
      <c r="AC58" s="91">
        <f t="shared" si="10"/>
        <v>5280.4229800000003</v>
      </c>
      <c r="AD58" s="91">
        <f t="shared" si="11"/>
        <v>5280.4229800000003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1604.6512700000001</v>
      </c>
      <c r="C59" s="83">
        <f>B59*2.5</f>
        <v>4011.6281750000003</v>
      </c>
      <c r="D59" s="83">
        <f>AD23</f>
        <v>13444.753360000001</v>
      </c>
      <c r="E59" s="83">
        <f>AD7</f>
        <v>790.63076000000001</v>
      </c>
      <c r="F59" s="82"/>
      <c r="G59" s="83">
        <f>AD40</f>
        <v>9324.1385699999992</v>
      </c>
      <c r="H59" s="68"/>
      <c r="I59" s="68" t="s">
        <v>38</v>
      </c>
      <c r="J59" s="68">
        <v>0</v>
      </c>
      <c r="K59" s="68">
        <f>AD64</f>
        <v>1975.53809</v>
      </c>
      <c r="L59" s="83">
        <f t="shared" si="15"/>
        <v>4938.845225</v>
      </c>
      <c r="M59" s="68"/>
      <c r="N59" s="83">
        <f>AD211</f>
        <v>540.77453000000003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Takaró profil Frame alumínium (műanyag)</v>
      </c>
      <c r="AC59" s="91">
        <f t="shared" si="10"/>
        <v>5408.8903099999998</v>
      </c>
      <c r="AD59" s="91">
        <f t="shared" si="11"/>
        <v>5408.8903099999998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1630.4189699999999</v>
      </c>
      <c r="C60" s="84">
        <f>B60*2.5</f>
        <v>4076.0474249999997</v>
      </c>
      <c r="D60" s="84">
        <f>AD25</f>
        <v>18235.969939999999</v>
      </c>
      <c r="E60" s="84">
        <f>AD7</f>
        <v>790.63076000000001</v>
      </c>
      <c r="F60" s="82"/>
      <c r="G60" s="84">
        <f>AD41</f>
        <v>20782.16863</v>
      </c>
      <c r="H60" s="68"/>
      <c r="I60" s="68" t="s">
        <v>39</v>
      </c>
      <c r="J60" s="68">
        <v>0</v>
      </c>
      <c r="K60" s="68">
        <f>AD63</f>
        <v>1510.06134</v>
      </c>
      <c r="L60" s="83">
        <f t="shared" si="15"/>
        <v>3775.15335</v>
      </c>
      <c r="M60" s="68"/>
      <c r="N60" s="83">
        <f>AD211</f>
        <v>540.77453000000003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Takaró profil Frame jávor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4250.2179400000005</v>
      </c>
      <c r="L61" s="83">
        <f t="shared" si="15"/>
        <v>10625.544850000002</v>
      </c>
      <c r="M61" s="68"/>
      <c r="N61" s="83">
        <f>AD211</f>
        <v>540.77453000000003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7469.5329899999997</v>
      </c>
      <c r="L62" s="83">
        <f t="shared" si="15"/>
        <v>18673.832474999999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5331.5343800000001</v>
      </c>
      <c r="K63" s="74" t="s">
        <v>124</v>
      </c>
      <c r="L63" s="83">
        <f>J63</f>
        <v>5331.5343800000001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Takaró profil Top fehér</v>
      </c>
      <c r="AC63" s="91">
        <f t="shared" ref="AC63:AC110" si="17">$AB$1*AD63</f>
        <v>1510.06134</v>
      </c>
      <c r="AD63" s="91">
        <f t="shared" ref="AD63:AD92" si="18">VLOOKUP(AA63,$Z$246:$AJ$508,(5+$AE$1),0)</f>
        <v>1510.06134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13444.753360000001</v>
      </c>
      <c r="E64" s="82">
        <f>AD7</f>
        <v>790.63076000000001</v>
      </c>
      <c r="F64" s="68" t="s">
        <v>85</v>
      </c>
      <c r="G64" s="82">
        <f>AD39</f>
        <v>15054.066199999999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540.77453000000003</v>
      </c>
      <c r="O64" s="69"/>
      <c r="Z64">
        <v>60</v>
      </c>
      <c r="AA64" s="90" t="s">
        <v>499</v>
      </c>
      <c r="AB64" s="179" t="str">
        <f t="shared" si="16"/>
        <v>Takaró profil Top nyír</v>
      </c>
      <c r="AC64" s="91">
        <f t="shared" si="17"/>
        <v>1975.53809</v>
      </c>
      <c r="AD64" s="91">
        <f t="shared" si="18"/>
        <v>1975.53809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18235.969939999999</v>
      </c>
      <c r="E65" s="68"/>
      <c r="F65" s="68" t="s">
        <v>86</v>
      </c>
      <c r="G65" s="82">
        <f>AD41</f>
        <v>20782.16863</v>
      </c>
      <c r="H65" s="68"/>
      <c r="I65" s="68" t="s">
        <v>41</v>
      </c>
      <c r="J65" s="68">
        <v>0</v>
      </c>
      <c r="K65" s="68">
        <f>AD54</f>
        <v>1947.4772399999999</v>
      </c>
      <c r="L65" s="84">
        <f t="shared" si="15"/>
        <v>4868.6930999999995</v>
      </c>
      <c r="M65" s="68"/>
      <c r="N65" s="84">
        <f>AD211</f>
        <v>540.77453000000003</v>
      </c>
      <c r="O65" s="69"/>
      <c r="Z65">
        <v>60</v>
      </c>
      <c r="AA65" s="90" t="s">
        <v>500</v>
      </c>
      <c r="AB65" s="179" t="str">
        <f t="shared" si="16"/>
        <v>Takaró profil Top bükk</v>
      </c>
      <c r="AC65" s="91">
        <f t="shared" si="17"/>
        <v>1975.53809</v>
      </c>
      <c r="AD65" s="91">
        <f t="shared" si="18"/>
        <v>1975.53809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5280.4229800000003</v>
      </c>
      <c r="L66" s="82">
        <f t="shared" si="15"/>
        <v>13201.05745</v>
      </c>
      <c r="M66" s="68"/>
      <c r="N66" s="84">
        <f>AD211</f>
        <v>540.77453000000003</v>
      </c>
      <c r="O66" s="69"/>
      <c r="Z66">
        <v>60</v>
      </c>
      <c r="AA66" s="90" t="s">
        <v>500</v>
      </c>
      <c r="AB66" s="179" t="str">
        <f t="shared" si="16"/>
        <v>Takaró profil Top bükk</v>
      </c>
      <c r="AC66" s="91">
        <f t="shared" si="17"/>
        <v>1975.53809</v>
      </c>
      <c r="AD66" s="91">
        <f t="shared" si="18"/>
        <v>1975.53809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13878.509319999999</v>
      </c>
      <c r="D67" s="68">
        <f>AD156</f>
        <v>15278.590340000001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9349.6940900000009</v>
      </c>
      <c r="L67" s="82">
        <f t="shared" si="15"/>
        <v>23374.235225000004</v>
      </c>
      <c r="M67" s="68"/>
      <c r="N67" s="84">
        <f>AD211</f>
        <v>540.77453000000003</v>
      </c>
      <c r="O67" s="69"/>
      <c r="Z67">
        <v>34</v>
      </c>
      <c r="AA67" s="90" t="s">
        <v>501</v>
      </c>
      <c r="AB67" s="179" t="str">
        <f t="shared" si="16"/>
        <v>Takaró profil Top fekete</v>
      </c>
      <c r="AC67" s="91">
        <f t="shared" si="17"/>
        <v>1510.06134</v>
      </c>
      <c r="AD67" s="91">
        <f t="shared" si="18"/>
        <v>1510.06134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506.54802000000001</v>
      </c>
      <c r="D68" s="68"/>
      <c r="E68" s="68"/>
      <c r="F68" s="68"/>
      <c r="G68" s="68"/>
      <c r="H68" s="68"/>
      <c r="I68" s="72" t="s">
        <v>123</v>
      </c>
      <c r="J68" s="68">
        <f>AC162</f>
        <v>8834.2516899999991</v>
      </c>
      <c r="K68" s="74" t="s">
        <v>124</v>
      </c>
      <c r="L68" s="82">
        <f>J68</f>
        <v>8834.2516899999991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Takaró profil Top Alu 230L</v>
      </c>
      <c r="AC68" s="91">
        <f t="shared" si="17"/>
        <v>4250.2179400000005</v>
      </c>
      <c r="AD68" s="91">
        <f t="shared" si="18"/>
        <v>4250.2179400000005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2264.4077699999998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Takaró profil Top alumínium (műanyag)</v>
      </c>
      <c r="AC69" s="91">
        <f t="shared" si="17"/>
        <v>1975.53809</v>
      </c>
      <c r="AD69" s="91">
        <f t="shared" si="18"/>
        <v>1975.53809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3" t="s">
        <v>35</v>
      </c>
      <c r="D70" s="613"/>
      <c r="E70" s="613"/>
      <c r="F70" s="68"/>
      <c r="G70" s="613" t="s">
        <v>34</v>
      </c>
      <c r="H70" s="613"/>
      <c r="I70" s="613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Takaró profil Top jávor</v>
      </c>
      <c r="AC70" s="91">
        <f t="shared" si="17"/>
        <v>1975.53809</v>
      </c>
      <c r="AD70" s="91">
        <f t="shared" si="18"/>
        <v>1975.53809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Takaró profil Top szürke</v>
      </c>
      <c r="AC71" s="91">
        <f t="shared" si="17"/>
        <v>1510.06134</v>
      </c>
      <c r="AD71" s="91">
        <f t="shared" si="18"/>
        <v>1510.06134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14526.7588</v>
      </c>
      <c r="D72" s="80">
        <f>AD74</f>
        <v>2140.2805499999999</v>
      </c>
      <c r="E72" s="86">
        <f>C72+D72</f>
        <v>16667.039349999999</v>
      </c>
      <c r="F72" s="68" t="e">
        <f>AD9</f>
        <v>#N/A</v>
      </c>
      <c r="G72" s="68">
        <f>AD49</f>
        <v>7958.97307</v>
      </c>
      <c r="H72" s="80">
        <f>AD84</f>
        <v>2194.8185699999999</v>
      </c>
      <c r="I72" s="81">
        <f>G72+H72</f>
        <v>10153.791639999999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Takaró profil Top cseresznyefa</v>
      </c>
      <c r="AC72" s="91">
        <f t="shared" si="17"/>
        <v>1975.53809</v>
      </c>
      <c r="AD72" s="91">
        <f t="shared" si="18"/>
        <v>1975.53809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14526.7588</v>
      </c>
      <c r="D73" s="80" t="e">
        <f>AD73</f>
        <v>#N/A</v>
      </c>
      <c r="E73" s="86" t="e">
        <f>C73+D73</f>
        <v>#N/A</v>
      </c>
      <c r="F73" s="68"/>
      <c r="G73" s="68">
        <f>AD49</f>
        <v>7958.97307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Takaró elem végzáró profilhoz átnyúlással fehér</v>
      </c>
      <c r="AC74" s="91">
        <f t="shared" si="17"/>
        <v>2140.2805499999999</v>
      </c>
      <c r="AD74" s="91">
        <f t="shared" si="18"/>
        <v>2140.2805499999999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Takaró elem végzáró profilhoz átnyúlással fekete</v>
      </c>
      <c r="AC77" s="91">
        <f t="shared" si="17"/>
        <v>2140.2805499999999</v>
      </c>
      <c r="AD77" s="91">
        <f t="shared" si="18"/>
        <v>2140.2805499999999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Takaró elem végzáró profilhoz átnyúlással alumínium (műanyag)</v>
      </c>
      <c r="AC78" s="91">
        <f t="shared" si="17"/>
        <v>3619.0863100000001</v>
      </c>
      <c r="AD78" s="91">
        <f t="shared" si="18"/>
        <v>3619.0863100000001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1274.9698599999999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Takaró elem végzáró profilhoz átnyúlással jávor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3425.3617199999999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Takaró elem végzáró profilhoz átnyúlással szürke</v>
      </c>
      <c r="AC80" s="91">
        <f t="shared" si="17"/>
        <v>2140.2805499999999</v>
      </c>
      <c r="AD80" s="91">
        <f t="shared" si="18"/>
        <v>2140.2805499999999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2094.0994700000001</v>
      </c>
      <c r="M81">
        <f t="shared" si="22"/>
        <v>6825.6235999999999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1006.53773</v>
      </c>
      <c r="M82">
        <f t="shared" si="22"/>
        <v>3708.7543999999998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Takaró elem takaró profilhoz átnyúlással jávor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424.86153999999999</v>
      </c>
      <c r="M83">
        <f t="shared" si="22"/>
        <v>1510.06134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741.80094999999994</v>
      </c>
      <c r="M84">
        <f t="shared" si="22"/>
        <v>690.45730000000003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Takaró elem takaró profilhoz átnyúlással - uni fekete</v>
      </c>
      <c r="AC84" s="91">
        <f t="shared" si="17"/>
        <v>2194.8185699999999</v>
      </c>
      <c r="AD84" s="91">
        <f t="shared" si="18"/>
        <v>2194.8185699999999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Takaró elem takaró profilhoz átnyúlással - uni szürke</v>
      </c>
      <c r="AC85" s="91">
        <f t="shared" si="17"/>
        <v>2194.8185699999999</v>
      </c>
      <c r="AD85" s="91">
        <f t="shared" si="18"/>
        <v>2194.8185699999999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Takaró elem takaró profilhoz átnyúlással - uni fehér</v>
      </c>
      <c r="AC86" s="91">
        <f t="shared" si="17"/>
        <v>2194.8185699999999</v>
      </c>
      <c r="AD86" s="91">
        <f t="shared" si="18"/>
        <v>2194.8185699999999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Takaró elem takaró profilhoz átnyúlással alumínium (műanyag)</v>
      </c>
      <c r="AC88" s="91">
        <f t="shared" si="17"/>
        <v>3207.2262900000001</v>
      </c>
      <c r="AD88" s="91">
        <f t="shared" si="18"/>
        <v>3207.2262900000001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Ragasztószalag 50m tekercs (redőnyökhöz)</v>
      </c>
      <c r="AC90" s="91">
        <f t="shared" si="17"/>
        <v>13576.40583</v>
      </c>
      <c r="AD90" s="91">
        <f t="shared" si="18"/>
        <v>13576.40583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Redőnyprofil Metal-line 20 mm Alu 230L</v>
      </c>
      <c r="AC91" s="91">
        <f t="shared" si="17"/>
        <v>1604.6512700000001</v>
      </c>
      <c r="AD91" s="91">
        <f t="shared" si="18"/>
        <v>1604.6512700000001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50408.396110000001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50408.396110000001</v>
      </c>
      <c r="L92">
        <f>AD185</f>
        <v>50408.396110000001</v>
      </c>
      <c r="M92">
        <f t="shared" ref="M92:M108" si="24">L92*$AB$1</f>
        <v>50408.396110000001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Redőnyprofil Metal-line 20 mm nemesacél 360L</v>
      </c>
      <c r="AC92" s="91">
        <f t="shared" si="17"/>
        <v>1630.4189699999999</v>
      </c>
      <c r="AD92" s="91">
        <f t="shared" si="18"/>
        <v>1630.4189699999999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58946.700400000002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58946.700400000002</v>
      </c>
      <c r="L93">
        <f>L92+$F$31*AC3</f>
        <v>58946.700400000002</v>
      </c>
      <c r="M93">
        <f t="shared" si="24"/>
        <v>58946.700400000002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50152.840190000003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50152.840190000003</v>
      </c>
      <c r="L94">
        <f>AD181</f>
        <v>50152.840190000003</v>
      </c>
      <c r="M94">
        <f t="shared" si="24"/>
        <v>50152.840190000003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58691.144480000003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58691.144480000003</v>
      </c>
      <c r="L95">
        <f>L94+$F$31*AC3</f>
        <v>58691.144480000003</v>
      </c>
      <c r="M95">
        <f t="shared" si="24"/>
        <v>58691.144480000003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53032.407480000002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53032.407480000002</v>
      </c>
      <c r="L96">
        <f>AD182</f>
        <v>53032.407480000002</v>
      </c>
      <c r="M96">
        <f t="shared" si="24"/>
        <v>53032.407480000002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61570.711770000002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61570.711770000002</v>
      </c>
      <c r="L97">
        <f>L96+$F$31*AC3</f>
        <v>61570.711770000002</v>
      </c>
      <c r="M97">
        <f t="shared" si="24"/>
        <v>61570.711770000002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55405.426420000003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55405.426420000003</v>
      </c>
      <c r="L98">
        <f>AD183</f>
        <v>55405.426420000003</v>
      </c>
      <c r="M98">
        <f t="shared" si="24"/>
        <v>55405.426420000003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63943.730710000003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63943.730710000003</v>
      </c>
      <c r="L99">
        <f>L98+$F$31*AC3</f>
        <v>63943.730710000003</v>
      </c>
      <c r="M99">
        <f t="shared" si="24"/>
        <v>63943.730710000003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57285.587509999998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57285.587509999998</v>
      </c>
      <c r="L100">
        <f>AD184</f>
        <v>57285.587509999998</v>
      </c>
      <c r="M100">
        <f t="shared" si="24"/>
        <v>57285.587509999998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65823.891799999998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65823.891799999998</v>
      </c>
      <c r="L101">
        <f>L100+$F$31*AC3</f>
        <v>65823.891799999998</v>
      </c>
      <c r="M101">
        <f t="shared" si="24"/>
        <v>65823.891799999998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6011.9522200000001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6011.9522200000001</v>
      </c>
      <c r="L102">
        <f>AD186</f>
        <v>6011.9522200000001</v>
      </c>
      <c r="M102">
        <f t="shared" si="24"/>
        <v>6011.9522200000001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1490.21471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1490.21471</v>
      </c>
      <c r="L106">
        <f>AD18</f>
        <v>1490.21471</v>
      </c>
      <c r="M106">
        <f t="shared" si="24"/>
        <v>1490.21471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A C3 mech.nem használható!</v>
      </c>
      <c r="B111" s="27"/>
      <c r="C111" s="27" t="str">
        <f>IF(výpočty!$H$100=3,výpočty!C100,IF(výpočty!$H$101=3,výpočty!C101,Překlady!A92))</f>
        <v>A C3 mech.nem használható!</v>
      </c>
      <c r="D111" s="27" t="str">
        <f>IF(výpočty!$H$100=3,výpočty!D100,IF(výpočty!$H$101=3,výpočty!D101,Překlady!A92))</f>
        <v>A C3 mech.nem használható!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Redőnyprofil E23 fehér</v>
      </c>
      <c r="AC112" s="91">
        <f t="shared" ref="AC112:AC143" si="29">$AB$1*AD112</f>
        <v>1566.0046400000001</v>
      </c>
      <c r="AD112" s="91">
        <f t="shared" ref="AD112:AD143" si="30">VLOOKUP(AA112,$Z$246:$AJ$508,(5+$AE$1),0)</f>
        <v>1566.0046400000001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Redőnyprofil E23 nyír</v>
      </c>
      <c r="AC113" s="91">
        <f t="shared" si="29"/>
        <v>1712.84178</v>
      </c>
      <c r="AD113" s="91">
        <f t="shared" si="30"/>
        <v>1712.84178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Redőnyprofil E23 bükk</v>
      </c>
      <c r="AC114" s="91">
        <f t="shared" si="29"/>
        <v>1712.84178</v>
      </c>
      <c r="AD114" s="91">
        <f t="shared" si="30"/>
        <v>1712.84178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1490.21471</v>
      </c>
      <c r="G115" s="24"/>
      <c r="Z115">
        <v>65</v>
      </c>
      <c r="AA115" s="90" t="s">
        <v>530</v>
      </c>
      <c r="AB115" s="179" t="str">
        <f t="shared" si="28"/>
        <v>Redőnyprofil E23 calvados</v>
      </c>
      <c r="AC115" s="91">
        <f t="shared" si="29"/>
        <v>1315.9606000000001</v>
      </c>
      <c r="AD115" s="91">
        <f t="shared" si="30"/>
        <v>1315.9606000000001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Redőnyprofil E23 fekete</v>
      </c>
      <c r="AC116" s="91">
        <f t="shared" si="29"/>
        <v>1566.0046400000001</v>
      </c>
      <c r="AD116" s="91">
        <f t="shared" si="30"/>
        <v>1566.0046400000001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Redőnyprofil E23 alumínium (műanyag)</v>
      </c>
      <c r="AC117" s="91">
        <f t="shared" si="29"/>
        <v>1712.84178</v>
      </c>
      <c r="AD117" s="91">
        <f t="shared" si="30"/>
        <v>1712.84178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Redőnyprofil E23 jávor</v>
      </c>
      <c r="AC118" s="91">
        <f t="shared" si="29"/>
        <v>1712.84178</v>
      </c>
      <c r="AD118" s="91">
        <f t="shared" si="30"/>
        <v>1712.84178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Redőnyprofil E23 szürke</v>
      </c>
      <c r="AC119" s="91">
        <f t="shared" si="29"/>
        <v>1566.0046400000001</v>
      </c>
      <c r="AD119" s="91">
        <f t="shared" si="30"/>
        <v>1566.0046400000001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Redőnyprofil E23 cseresznyefa Havanna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Redőnyprofil E23 cseresznyefa</v>
      </c>
      <c r="AC121" s="91">
        <f t="shared" si="29"/>
        <v>1712.84178</v>
      </c>
      <c r="AD121" s="91">
        <f t="shared" si="30"/>
        <v>1712.84178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Vezető profil sarok csavarozható sötétszürke (alumínium)</v>
      </c>
      <c r="AC122" s="91">
        <f t="shared" si="29"/>
        <v>474.48766999999998</v>
      </c>
      <c r="AD122" s="91">
        <f t="shared" si="30"/>
        <v>474.48766999999998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Vezető profilsarok 90 ° 8 mm fehér</v>
      </c>
      <c r="AC123" s="91">
        <f t="shared" si="29"/>
        <v>424.86153999999999</v>
      </c>
      <c r="AD123" s="91">
        <f t="shared" si="30"/>
        <v>424.86153999999999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Vezető profil sarok csavarozható fekete</v>
      </c>
      <c r="AC124" s="91">
        <f t="shared" si="29"/>
        <v>474.48766999999998</v>
      </c>
      <c r="AD124" s="91">
        <f t="shared" si="30"/>
        <v>474.48766999999998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Vezető profilsarok 90 ° 8 mm világosbarna (bükk)</v>
      </c>
      <c r="AC125" s="91">
        <f t="shared" si="29"/>
        <v>424.86153999999999</v>
      </c>
      <c r="AD125" s="91">
        <f t="shared" si="30"/>
        <v>424.86153999999999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Vezető profil sarok csavarozható világosbarna (bükk)</v>
      </c>
      <c r="AC126" s="91">
        <f t="shared" si="29"/>
        <v>474.48766999999998</v>
      </c>
      <c r="AD126" s="91">
        <f t="shared" si="30"/>
        <v>474.48766999999998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Vezető profil sarok csavarozható bézs (jávor)</v>
      </c>
      <c r="AC127" s="91">
        <f t="shared" si="29"/>
        <v>474.48766999999998</v>
      </c>
      <c r="AD127" s="91">
        <f t="shared" si="30"/>
        <v>474.48766999999998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Vezető profil sarok csavarozható barna (Havanna)</v>
      </c>
      <c r="AC128" s="91">
        <f t="shared" si="29"/>
        <v>364.63659999999999</v>
      </c>
      <c r="AD128" s="91">
        <f t="shared" si="30"/>
        <v>364.63659999999999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Vezető profil sarok csavarozható barna (cseresznye)</v>
      </c>
      <c r="AC129" s="91">
        <f t="shared" si="29"/>
        <v>474.48766999999998</v>
      </c>
      <c r="AD129" s="91">
        <f t="shared" si="30"/>
        <v>474.48766999999998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Vezető profil sarok csavarozható bézs (nyír)</v>
      </c>
      <c r="AC130" s="91">
        <f t="shared" si="29"/>
        <v>474.48766999999998</v>
      </c>
      <c r="AD130" s="91">
        <f t="shared" si="30"/>
        <v>474.48766999999998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Vezető profil sarok csavarozható barna (calvados)</v>
      </c>
      <c r="AC131" s="91">
        <f t="shared" si="29"/>
        <v>364.63659999999999</v>
      </c>
      <c r="AD131" s="91">
        <f t="shared" si="30"/>
        <v>364.63659999999999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Vezető profilsarok 90 ° 8 mm szürke</v>
      </c>
      <c r="AC132" s="91">
        <f t="shared" si="29"/>
        <v>424.86153999999999</v>
      </c>
      <c r="AD132" s="91">
        <f t="shared" si="30"/>
        <v>424.86153999999999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Vezető profil sarok csavarozható szürke</v>
      </c>
      <c r="AC133" s="91">
        <f t="shared" si="29"/>
        <v>474.48766999999998</v>
      </c>
      <c r="AD133" s="91">
        <f t="shared" si="30"/>
        <v>474.48766999999998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Összekötő profil közép fogantyú profilra</v>
      </c>
      <c r="AC134" s="91">
        <f t="shared" si="29"/>
        <v>1006.36353</v>
      </c>
      <c r="AD134" s="91">
        <f t="shared" si="30"/>
        <v>1006.36353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Közép ütköző Top világosbarna (bükk)</v>
      </c>
      <c r="AC135" s="91">
        <f t="shared" si="29"/>
        <v>159.94414</v>
      </c>
      <c r="AD135" s="91">
        <f t="shared" si="30"/>
        <v>159.94414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Közép fogantyú profil C3 - uni szürke</v>
      </c>
      <c r="AC136" s="91">
        <f t="shared" si="29"/>
        <v>3425.3617199999999</v>
      </c>
      <c r="AD136" s="91">
        <f t="shared" si="30"/>
        <v>3425.3617199999999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Közép fogantyú profil C3 - uni fehér</v>
      </c>
      <c r="AC137" s="91">
        <f t="shared" si="29"/>
        <v>3425.3617199999999</v>
      </c>
      <c r="AD137" s="91">
        <f t="shared" si="30"/>
        <v>3425.3617199999999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Közép fogantyú profil C3 - dekor bükk</v>
      </c>
      <c r="AC138" s="91">
        <f t="shared" si="29"/>
        <v>4790.9924700000001</v>
      </c>
      <c r="AD138" s="91">
        <f t="shared" si="30"/>
        <v>4790.9924700000001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Közép fogantyú profil C3 - uni fekete</v>
      </c>
      <c r="AC139" s="91">
        <f t="shared" si="29"/>
        <v>3425.3617199999999</v>
      </c>
      <c r="AD139" s="91">
        <f t="shared" si="30"/>
        <v>3425.3617199999999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Közép fogantyú profil C3 alu adapterrel 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Közép fogantyú profil C3 adapterrel nemesacél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Közép fogantyú profil C3 alumínium (műanyag)</v>
      </c>
      <c r="AC142" s="91">
        <f t="shared" si="29"/>
        <v>4790.9924700000001</v>
      </c>
      <c r="AD142" s="91">
        <f t="shared" si="30"/>
        <v>4790.9924700000001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Közép ütköző 8 mm fehér</v>
      </c>
      <c r="AC143" s="91">
        <f t="shared" si="29"/>
        <v>199.93222</v>
      </c>
      <c r="AD143" s="91">
        <f t="shared" si="30"/>
        <v>199.93222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Közép ütköző 8 mm fekete</v>
      </c>
      <c r="AC144" s="91">
        <f t="shared" ref="AC144:AC175" si="32">$AB$1*AD144</f>
        <v>199.93222</v>
      </c>
      <c r="AD144" s="91">
        <f t="shared" ref="AD144:AD175" si="33">VLOOKUP(AA144,$Z$246:$AJ$508,(5+$AE$1),0)</f>
        <v>199.93222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Közép ütköző 8 mm világosbarna (bükk)</v>
      </c>
      <c r="AC145" s="91">
        <f t="shared" si="32"/>
        <v>199.93222</v>
      </c>
      <c r="AD145" s="91">
        <f t="shared" si="33"/>
        <v>199.93222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Közép ütköző 8 mm szürke</v>
      </c>
      <c r="AC146" s="91">
        <f t="shared" si="32"/>
        <v>199.93222</v>
      </c>
      <c r="AD146" s="91">
        <f t="shared" si="33"/>
        <v>199.93222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Közép ütköző Top világosszürke (alumínium)</v>
      </c>
      <c r="AC147" s="91">
        <f t="shared" si="32"/>
        <v>164.74245999999999</v>
      </c>
      <c r="AD147" s="91">
        <f t="shared" si="33"/>
        <v>164.74245999999999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Közép ütköző Top fehér</v>
      </c>
      <c r="AC148" s="91">
        <f t="shared" si="32"/>
        <v>159.94414</v>
      </c>
      <c r="AD148" s="91">
        <f t="shared" si="33"/>
        <v>159.94414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Közép ütköző Top fekete</v>
      </c>
      <c r="AC149" s="91">
        <f t="shared" si="32"/>
        <v>159.94414</v>
      </c>
      <c r="AD149" s="91">
        <f t="shared" si="33"/>
        <v>159.94414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Közép ütköző Top világosszürke (alumínium)</v>
      </c>
      <c r="AC150" s="91">
        <f t="shared" si="32"/>
        <v>164.74245999999999</v>
      </c>
      <c r="AD150" s="91">
        <f t="shared" si="33"/>
        <v>164.74245999999999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Közép ütköző Top bézs (jávor)</v>
      </c>
      <c r="AC151" s="91">
        <f t="shared" si="32"/>
        <v>159.94414</v>
      </c>
      <c r="AD151" s="91">
        <f t="shared" si="33"/>
        <v>159.94414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Közép ütköző Top szürke</v>
      </c>
      <c r="AC152" s="91">
        <f t="shared" si="32"/>
        <v>159.94414</v>
      </c>
      <c r="AD152" s="91">
        <f t="shared" si="33"/>
        <v>159.94414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Közép ütköző Top barna (cseresznyefa)</v>
      </c>
      <c r="AC153" s="91">
        <f t="shared" si="32"/>
        <v>159.94414</v>
      </c>
      <c r="AD153" s="91">
        <f t="shared" si="33"/>
        <v>159.94414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Vezető profil csavarozható bézs (nyír)</v>
      </c>
      <c r="AC154" s="91">
        <f t="shared" si="32"/>
        <v>1665.58718</v>
      </c>
      <c r="AD154" s="91">
        <f t="shared" si="33"/>
        <v>1665.58718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Vezető profil 29 mm Metal-line alu 230L</v>
      </c>
      <c r="AC155" s="91">
        <f t="shared" si="32"/>
        <v>13878.509319999999</v>
      </c>
      <c r="AD155" s="91">
        <f t="shared" si="33"/>
        <v>13878.509319999999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Vezető profil 29 mm Metal-line nemesacél 360L</v>
      </c>
      <c r="AC156" s="91">
        <f t="shared" si="32"/>
        <v>15278.590340000001</v>
      </c>
      <c r="AD156" s="91">
        <f t="shared" si="33"/>
        <v>15278.590340000001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Vezető profil csavarozható sötétszürke (alumínium)</v>
      </c>
      <c r="AC157" s="91">
        <f t="shared" si="32"/>
        <v>1665.58718</v>
      </c>
      <c r="AD157" s="91">
        <f t="shared" si="33"/>
        <v>1665.58718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Vezető profil 8 mm bemarásra fehér</v>
      </c>
      <c r="AC158" s="91">
        <f t="shared" si="32"/>
        <v>790.97032000000002</v>
      </c>
      <c r="AD158" s="91">
        <f t="shared" si="33"/>
        <v>790.97032000000002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Vezető profil csavarozható fehér</v>
      </c>
      <c r="AC159" s="91">
        <f t="shared" si="32"/>
        <v>1665.58718</v>
      </c>
      <c r="AD159" s="91">
        <f t="shared" si="33"/>
        <v>1665.58718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Vezető profil 8 mm bemarásra fekete</v>
      </c>
      <c r="AC160" s="91">
        <f t="shared" si="32"/>
        <v>790.94340999999997</v>
      </c>
      <c r="AD160" s="91">
        <f t="shared" si="33"/>
        <v>790.94340999999997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Vezető profil csavarozható fekete</v>
      </c>
      <c r="AC161" s="91">
        <f t="shared" si="32"/>
        <v>1665.58718</v>
      </c>
      <c r="AD161" s="91">
        <f t="shared" si="33"/>
        <v>1665.58718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Vezető profil Frame alsó rész alu 230L</v>
      </c>
      <c r="AC162" s="91">
        <f t="shared" si="32"/>
        <v>8834.2516899999991</v>
      </c>
      <c r="AD162" s="91">
        <f t="shared" si="33"/>
        <v>8834.2516899999991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Vezető profil 8 mm bemarásra világosbarna bükk</v>
      </c>
      <c r="AC163" s="91">
        <f t="shared" si="32"/>
        <v>790.94340999999997</v>
      </c>
      <c r="AD163" s="91">
        <f t="shared" si="33"/>
        <v>790.94340999999997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Vezető profil csavarozható világosbarna (bükk)</v>
      </c>
      <c r="AC164" s="91">
        <f t="shared" si="32"/>
        <v>1665.58718</v>
      </c>
      <c r="AD164" s="91">
        <f t="shared" si="33"/>
        <v>1665.58718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Vezető profil csavarozható barna (calvados)</v>
      </c>
      <c r="AC165" s="91">
        <f t="shared" si="32"/>
        <v>1279.6386</v>
      </c>
      <c r="AD165" s="91">
        <f t="shared" si="33"/>
        <v>1279.6386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Vezető profil csavarozható bézs (jávor)</v>
      </c>
      <c r="AC166" s="91">
        <f t="shared" si="32"/>
        <v>1665.58718</v>
      </c>
      <c r="AD166" s="91">
        <f t="shared" si="33"/>
        <v>1665.58718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Vezető profil csavarozható barna (Havanna)</v>
      </c>
      <c r="AC167" s="91">
        <f t="shared" si="32"/>
        <v>1279.6386</v>
      </c>
      <c r="AD167" s="91">
        <f t="shared" si="33"/>
        <v>1279.6386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Vezető profil csavarozható barna (cseresznye)</v>
      </c>
      <c r="AC168" s="91">
        <f t="shared" si="32"/>
        <v>1665.58718</v>
      </c>
      <c r="AD168" s="91">
        <f t="shared" si="33"/>
        <v>1665.58718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Vezető profil 8 mm bemarásra szürke</v>
      </c>
      <c r="AC169" s="91">
        <f t="shared" si="32"/>
        <v>790.94340999999997</v>
      </c>
      <c r="AD169" s="91">
        <f t="shared" si="33"/>
        <v>790.94340999999997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Vezető profil csavarozható szürke</v>
      </c>
      <c r="AC170" s="91">
        <f t="shared" si="32"/>
        <v>1665.58718</v>
      </c>
      <c r="AD170" s="91">
        <f t="shared" si="33"/>
        <v>1665.58718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Vezető profil Top alsó rész alu 230L</v>
      </c>
      <c r="AC171" s="358">
        <f t="shared" si="32"/>
        <v>5331.5343800000001</v>
      </c>
      <c r="AD171" s="358">
        <f t="shared" si="33"/>
        <v>5331.5343800000001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Vezető csiga 8 mm, kapacitás 1280 mm fekete</v>
      </c>
      <c r="AC172" s="91">
        <f t="shared" si="32"/>
        <v>3322.91516</v>
      </c>
      <c r="AD172" s="91">
        <f t="shared" si="33"/>
        <v>3322.91516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Vezető csiga 8 mm, kapacitás 1280 mm szürke</v>
      </c>
      <c r="AC173" s="91">
        <f t="shared" si="32"/>
        <v>3322.91516</v>
      </c>
      <c r="AD173" s="91">
        <f t="shared" si="33"/>
        <v>3322.91516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Vezető csiga 8 mm, kapacitás 670 mm fekete</v>
      </c>
      <c r="AC174" s="91">
        <f t="shared" si="32"/>
        <v>2485.2811799999999</v>
      </c>
      <c r="AD174" s="91">
        <f t="shared" si="33"/>
        <v>2485.2811799999999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Vezető csiga 8 mm, kapacitás 1590 mm fekete</v>
      </c>
      <c r="AC176" s="91">
        <f t="shared" ref="AC176:AC205" si="34">$AB$1*AD176</f>
        <v>4120.8385600000001</v>
      </c>
      <c r="AD176" s="91">
        <f t="shared" ref="AD176:AD198" si="35">VLOOKUP(AA176,$Z$246:$AJ$508,(5+$AE$1),0)</f>
        <v>4120.8385600000001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Vezető csiga Top/Frame, kapacitás 1240 mm</v>
      </c>
      <c r="AC177" s="91">
        <f t="shared" si="34"/>
        <v>3233.0147999999999</v>
      </c>
      <c r="AD177" s="91">
        <f t="shared" si="35"/>
        <v>3233.0147999999999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Vezető profil 15,5 mm függőleges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C3-as kiegyenlítő mechanika - 600 mm</v>
      </c>
      <c r="AC181" s="91">
        <f t="shared" si="34"/>
        <v>50152.840190000003</v>
      </c>
      <c r="AD181" s="91">
        <f t="shared" si="35"/>
        <v>50152.840190000003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C3-as kiegyenlítő mechanika - 800 mm</v>
      </c>
      <c r="AC182" s="91">
        <f t="shared" si="34"/>
        <v>53032.407480000002</v>
      </c>
      <c r="AD182" s="91">
        <f t="shared" si="35"/>
        <v>53032.407480000002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C3-as kiegyenlítő mechanika - 1000 mm</v>
      </c>
      <c r="AC183" s="91">
        <f t="shared" si="34"/>
        <v>55405.426420000003</v>
      </c>
      <c r="AD183" s="91">
        <f t="shared" si="35"/>
        <v>55405.426420000003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C3-as kiegyenlítő mechanika - 1200 mm</v>
      </c>
      <c r="AC184" s="91">
        <f t="shared" si="34"/>
        <v>57285.587509999998</v>
      </c>
      <c r="AD184" s="91">
        <f t="shared" si="35"/>
        <v>57285.587509999998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C3-as kiegyenlítő mechanika - 400 mm</v>
      </c>
      <c r="AC185" s="91">
        <f t="shared" si="34"/>
        <v>50408.396110000001</v>
      </c>
      <c r="AD185" s="91">
        <f t="shared" si="35"/>
        <v>50408.396110000001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C6-os felcsévélő mechanika</v>
      </c>
      <c r="AC186" s="91">
        <f t="shared" si="34"/>
        <v>6011.9522200000001</v>
      </c>
      <c r="AD186" s="91">
        <f t="shared" si="35"/>
        <v>6011.9522200000001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Végzáró Frame fehér</v>
      </c>
      <c r="AC188" s="91">
        <f t="shared" si="34"/>
        <v>2264.4077699999998</v>
      </c>
      <c r="AD188" s="91">
        <f t="shared" si="35"/>
        <v>2264.4077699999998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Végzáró Frame világosbarna (bükk)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Végzáró Frame fekete</v>
      </c>
      <c r="AC191" s="91">
        <f t="shared" si="34"/>
        <v>2264.4077699999998</v>
      </c>
      <c r="AD191" s="91">
        <f t="shared" si="35"/>
        <v>2264.4077699999998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Végzáró Frame bézs (jávor)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2344</v>
      </c>
      <c r="AA194" s="90" t="s">
        <v>603</v>
      </c>
      <c r="AB194" s="179" t="str">
        <f t="shared" si="36"/>
        <v>Végzáró Frame világosszürke</v>
      </c>
      <c r="AC194" s="91">
        <f t="shared" si="34"/>
        <v>2264.4077699999998</v>
      </c>
      <c r="AD194" s="91">
        <f t="shared" si="35"/>
        <v>2264.4077699999998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Végzáró Frame sötétszürke (alumínium)</v>
      </c>
      <c r="AC195" s="91">
        <f t="shared" si="34"/>
        <v>2264.4077699999998</v>
      </c>
      <c r="AD195" s="91">
        <f t="shared" si="35"/>
        <v>2264.4077699999998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Végzáró vezető profilra R92845 balos</v>
      </c>
      <c r="AC197" s="91">
        <f t="shared" si="34"/>
        <v>253.27401</v>
      </c>
      <c r="AD197" s="91">
        <f t="shared" si="35"/>
        <v>253.27401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Végzáró vezető profilra R92846 balos</v>
      </c>
      <c r="AC198" s="91">
        <f t="shared" si="34"/>
        <v>253.27401</v>
      </c>
      <c r="AD198" s="91">
        <f t="shared" si="35"/>
        <v>253.27401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A C3 mech.nem használható!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2005</v>
      </c>
      <c r="AA201" s="93" t="s">
        <v>636</v>
      </c>
      <c r="AB201" s="179" t="str">
        <f t="shared" ref="AB201:AB204" si="37">VLOOKUP(AA201,$Z$246:$AJ$508,(1+$AE$1),0)</f>
        <v>Redőnyprofil E4 alumínium (műanyag)</v>
      </c>
      <c r="AC201" s="91">
        <f t="shared" si="34"/>
        <v>2094.0994700000001</v>
      </c>
      <c r="AD201" s="91">
        <f t="shared" ref="AD201:AD204" si="38">VLOOKUP(AA201,$Z$246:$AJ$508,(5+$AE$1),0)</f>
        <v>2094.0994700000001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Vezető profil 12 mm bemarásra szürke</v>
      </c>
      <c r="AC202" s="91">
        <f t="shared" si="34"/>
        <v>1006.53773</v>
      </c>
      <c r="AD202" s="91">
        <f t="shared" si="38"/>
        <v>1006.53773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Vezető profilsarok 90 ° - 12 mm szürke</v>
      </c>
      <c r="AC203" s="91">
        <f t="shared" si="34"/>
        <v>424.86153999999999</v>
      </c>
      <c r="AD203" s="91">
        <f t="shared" si="38"/>
        <v>424.86153999999999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Csúszka 12 mm szürke</v>
      </c>
      <c r="AC204" s="91">
        <f t="shared" si="34"/>
        <v>741.80094999999994</v>
      </c>
      <c r="AD204" s="91">
        <f t="shared" si="38"/>
        <v>741.80094999999994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2008</v>
      </c>
      <c r="AA205" s="93">
        <v>353554</v>
      </c>
      <c r="AB205" s="179" t="str">
        <f t="shared" ref="AB205:AB210" si="39">VLOOKUP(AA205,$Z$246:$AJ$508,(1+$AE$1),0)</f>
        <v>Redőny profil E9 fényes fehér</v>
      </c>
      <c r="AC205" s="91">
        <f t="shared" si="34"/>
        <v>1274.9698599999999</v>
      </c>
      <c r="AD205" s="91">
        <f t="shared" ref="AD205" si="40">VLOOKUP(AA205,$Z$246:$AJ$508,(5+$AE$1),0)</f>
        <v>1274.9698599999999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Közép fogantyú profil fényes fehér</v>
      </c>
      <c r="AC206" s="91">
        <f t="shared" ref="AC206:AC208" si="41">$AB$1*AD206</f>
        <v>3425.3617199999999</v>
      </c>
      <c r="AD206" s="91">
        <f t="shared" ref="AD206:AD210" si="42">VLOOKUP(AA206,$Z$246:$AJ$508,(5+$AE$1),0)</f>
        <v>3425.3617199999999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Végzáró profil fényes fehér</v>
      </c>
      <c r="AC207" s="91">
        <f t="shared" si="41"/>
        <v>6825.6235999999999</v>
      </c>
      <c r="AD207" s="91">
        <f t="shared" si="42"/>
        <v>6825.6235999999999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Takaró profil uni fényes fehér</v>
      </c>
      <c r="AC208" s="91">
        <f t="shared" si="41"/>
        <v>3708.7543999999998</v>
      </c>
      <c r="AD208" s="91">
        <f t="shared" si="42"/>
        <v>3708.7543999999998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Takaró profil Top fényes fehér</v>
      </c>
      <c r="AC209" s="91">
        <f t="shared" ref="AC209:AC240" si="43">$AB$1*AD209</f>
        <v>1510.06134</v>
      </c>
      <c r="AD209" s="94">
        <f t="shared" si="42"/>
        <v>1510.06134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Csúszó talp 8 mm fehér RAL9010 végzáró profilba E9</v>
      </c>
      <c r="AC210" s="91">
        <f t="shared" si="43"/>
        <v>690.45730000000003</v>
      </c>
      <c r="AD210" s="94">
        <f t="shared" si="42"/>
        <v>690.45730000000003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Vezető profilsarok 90 ° Top/Frame</v>
      </c>
      <c r="AC211" s="91">
        <f t="shared" si="43"/>
        <v>540.77453000000003</v>
      </c>
      <c r="AD211" s="91">
        <f>VLOOKUP(AA211,$Z$246:$AJ$508,(5+$AE$1),0)</f>
        <v>540.77453000000003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Sarok vezető profilhoz csavarra fehér</v>
      </c>
      <c r="AC220" s="91">
        <f t="shared" si="43"/>
        <v>474.48766999999998</v>
      </c>
      <c r="AD220" s="91">
        <f>VLOOKUP(AA220,$Z$246:$AJ$508,(5+$AE$1),0)</f>
        <v>474.48766999999998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Vezető profilsarok 90 ° 8 mm fekete</v>
      </c>
      <c r="AC221" s="91">
        <f t="shared" si="43"/>
        <v>424.86153999999999</v>
      </c>
      <c r="AD221" s="91">
        <f>VLOOKUP(AA221,$Z$246:$AJ$508,(5+$AE$1),0)</f>
        <v>424.86153999999999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Takaró profil Top cseresznyefa havanna</v>
      </c>
      <c r="AC222" s="92">
        <f t="shared" si="43"/>
        <v>1517.69957</v>
      </c>
      <c r="AD222" s="91">
        <f>VLOOKUP(AA222,$Z$246:$AJ$508,(5+$AE$1),0)</f>
        <v>1517.69957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Takaró profil Top calvados</v>
      </c>
      <c r="AC223" s="92">
        <f t="shared" si="43"/>
        <v>1517.69957</v>
      </c>
      <c r="AD223" s="91">
        <f>VLOOKUP(AA223,$Z$246:$AJ$508,(5+$AE$1),0)</f>
        <v>1517.69957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Takaró profil Top nemesacél 360L</v>
      </c>
      <c r="AC224" s="92">
        <f t="shared" si="43"/>
        <v>7469.5329899999997</v>
      </c>
      <c r="AD224" s="91">
        <f>VLOOKUP(AA224,$Z$246:$AJ$508,(5+$AE$1),0)</f>
        <v>7469.5329899999997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462</v>
      </c>
      <c r="AB231" s="179" t="str">
        <f t="shared" ref="AB231:AB237" si="44">VLOOKUP(AA231,$Z$246:$AJ$508,(1+$AE$1),0)</f>
        <v>Végzáró profil alu Kombi nemesacél 360L</v>
      </c>
      <c r="AC231" s="91">
        <f t="shared" si="43"/>
        <v>18235.969939999999</v>
      </c>
      <c r="AD231" s="91">
        <f t="shared" ref="AD231:AD237" si="45">VLOOKUP(AA231,$Z$246:$AJ$508,(5+$AE$1),0)</f>
        <v>18235.969939999999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Takaró profil nemesacél (profil L) nemesacél 360L</v>
      </c>
      <c r="AC232" s="91">
        <f t="shared" si="43"/>
        <v>12749.518</v>
      </c>
      <c r="AD232" s="91">
        <f t="shared" si="45"/>
        <v>12749.518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Takaró profil Frame nemesacél 360L</v>
      </c>
      <c r="AC233" s="91">
        <f t="shared" si="43"/>
        <v>9349.6940900000009</v>
      </c>
      <c r="AD233" s="91">
        <f t="shared" si="45"/>
        <v>9349.6940900000009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Átmenet Frame és C3-as mechanika között fekete</v>
      </c>
      <c r="AC234" s="91">
        <f t="shared" si="43"/>
        <v>642.99697000000003</v>
      </c>
      <c r="AD234" s="91">
        <f t="shared" si="45"/>
        <v>642.99697000000003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Végzáró vezető profilra R92845 jobbos</v>
      </c>
      <c r="AC235" s="91">
        <f t="shared" si="43"/>
        <v>253.27401</v>
      </c>
      <c r="AD235" s="91">
        <f t="shared" si="45"/>
        <v>253.27401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Végzáró vezető profilra R92846 jobbos</v>
      </c>
      <c r="AC236" s="91">
        <f t="shared" si="43"/>
        <v>253.27401</v>
      </c>
      <c r="AD236" s="91">
        <f t="shared" si="45"/>
        <v>253.27401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Felár a redőny méretre készítéséért</v>
      </c>
      <c r="AC237" s="91">
        <f>AD237</f>
        <v>2800</v>
      </c>
      <c r="AD237" s="91">
        <f t="shared" si="45"/>
        <v>2800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Ragasztószalag 50m tekercs (redőnyökhöz)</v>
      </c>
      <c r="AC238" s="91">
        <f t="shared" si="43"/>
        <v>13576.40583</v>
      </c>
      <c r="AD238" s="91">
        <f>VLOOKUP(AA238,$Z$246:$AJ$508,(5+$AE$1),0)</f>
        <v>13576.40583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RAGASZTÓ SZALAG REDŐNYÖK RAGASZT.</v>
      </c>
      <c r="AC239" s="91">
        <f t="shared" si="43"/>
        <v>263.61946999999998</v>
      </c>
      <c r="AD239" s="91">
        <f>VLOOKUP(AA239,$Z$246:$AJ$508,(5+$AE$1),0)</f>
        <v>263.61946999999998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SZETT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Ütköző 20 mm végzáró profilba Alu kombi</v>
      </c>
      <c r="AC242" s="92">
        <f>$AB$1*AD242</f>
        <v>70.054090000000002</v>
      </c>
      <c r="AD242" s="92">
        <f>VLOOKUP(AA242,$Z$246:$AJ$508,(5+$AE$1),0)</f>
        <v>70.054090000000002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FM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Redőnyprofil Metal-line 25 mm alumínium 230L</v>
      </c>
      <c r="AC243" s="92">
        <f t="shared" ref="AC243:AC245" si="47">$AB$1*AD243</f>
        <v>2039.9282800000001</v>
      </c>
      <c r="AD243" s="92">
        <f t="shared" ref="AD243:AD245" si="48">VLOOKUP(AA243,$Z$246:$AJ$508,(5+$AE$1),0)</f>
        <v>2039.9282800000001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PÁR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Redőnyprofil Metal-line 25 mm nemesacél 360L</v>
      </c>
      <c r="AC244" s="92">
        <f t="shared" si="47"/>
        <v>2197.03782</v>
      </c>
      <c r="AD244" s="92">
        <f t="shared" si="48"/>
        <v>2197.03782</v>
      </c>
      <c r="AK244">
        <v>1</v>
      </c>
      <c r="AM244" s="172" t="s">
        <v>767</v>
      </c>
      <c r="AN244" t="s">
        <v>643</v>
      </c>
      <c r="AO244" t="str">
        <f>Překlady!A111</f>
        <v>DB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Csúszka Metallic-line 25 mm fekete</v>
      </c>
      <c r="AC245" s="92">
        <f t="shared" si="47"/>
        <v>257.81945000000002</v>
      </c>
      <c r="AD245" s="92">
        <f t="shared" si="48"/>
        <v>257.81945000000002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FM</v>
      </c>
    </row>
    <row r="248" spans="26:42" ht="15" x14ac:dyDescent="0.25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124.03711</v>
      </c>
      <c r="AF248" s="175">
        <v>5.0629400000000002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FM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128.13247000000001</v>
      </c>
      <c r="AF249" s="175">
        <v>5.2300899999999997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FM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FM</v>
      </c>
    </row>
    <row r="251" spans="26:42" ht="15" x14ac:dyDescent="0.25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DB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95.819739999999996</v>
      </c>
      <c r="AF257" s="175">
        <v>3.9111600000000002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FM</v>
      </c>
    </row>
    <row r="258" spans="26:37" ht="15" x14ac:dyDescent="0.25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95.819739999999996</v>
      </c>
      <c r="AF258" s="175">
        <v>3.9111600000000002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FM</v>
      </c>
    </row>
    <row r="259" spans="26:37" ht="15" x14ac:dyDescent="0.25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95.819739999999996</v>
      </c>
      <c r="AF259" s="175">
        <v>3.9111600000000002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FM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104.8043</v>
      </c>
      <c r="AF260" s="175">
        <v>4.2778799999999997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FM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104.8043</v>
      </c>
      <c r="AF261" s="175">
        <v>4.2778799999999997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FM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104.8043</v>
      </c>
      <c r="AF262" s="175">
        <v>4.2778799999999997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FM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104.8043</v>
      </c>
      <c r="AF263" s="175">
        <v>4.2778799999999997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FM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104.8043</v>
      </c>
      <c r="AF264" s="175">
        <v>4.2778799999999997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FM</v>
      </c>
    </row>
    <row r="265" spans="26:37" ht="15" x14ac:dyDescent="0.25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FM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82.935789999999997</v>
      </c>
      <c r="AF266" s="175">
        <v>3.3852699999999998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FM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98.184399999999997</v>
      </c>
      <c r="AF268" s="175">
        <v>4.0076900000000002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FM</v>
      </c>
    </row>
    <row r="269" spans="26:37" ht="15" x14ac:dyDescent="0.25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102.7539</v>
      </c>
      <c r="AF269" s="175">
        <v>4.1942000000000004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FM</v>
      </c>
    </row>
    <row r="270" spans="26:37" ht="15" x14ac:dyDescent="0.25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2.9943</v>
      </c>
      <c r="AF270" s="175">
        <v>0.12223000000000001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DB</v>
      </c>
    </row>
    <row r="271" spans="26:37" ht="15" x14ac:dyDescent="0.25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124.81787</v>
      </c>
      <c r="AF271" s="175">
        <v>5.0947899999999997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FM</v>
      </c>
    </row>
    <row r="272" spans="26:37" s="169" customFormat="1" ht="15" x14ac:dyDescent="0.25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242">
        <v>134.43099000000001</v>
      </c>
      <c r="AF272" s="175">
        <v>5.48719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FM</v>
      </c>
    </row>
    <row r="273" spans="26:37" ht="15" x14ac:dyDescent="0.25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15.7753</v>
      </c>
      <c r="AF273" s="175">
        <v>0.64392000000000005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PÁR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48.395769999999999</v>
      </c>
      <c r="AF274" s="175">
        <v>1.9754100000000001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FM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48.397410000000001</v>
      </c>
      <c r="AF275" s="175">
        <v>1.9754700000000001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FM</v>
      </c>
    </row>
    <row r="276" spans="26:37" ht="15" x14ac:dyDescent="0.25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48.395769999999999</v>
      </c>
      <c r="AF276" s="175">
        <v>1.9754100000000001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FM</v>
      </c>
    </row>
    <row r="277" spans="26:37" ht="15" x14ac:dyDescent="0.25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48.395769999999999</v>
      </c>
      <c r="AF277" s="175">
        <v>1.9754100000000001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FM</v>
      </c>
    </row>
    <row r="278" spans="26:37" ht="15" x14ac:dyDescent="0.25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102.45442</v>
      </c>
      <c r="AF278" s="175">
        <v>4.1819600000000001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FM</v>
      </c>
    </row>
    <row r="279" spans="26:37" ht="15" x14ac:dyDescent="0.25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102.45442</v>
      </c>
      <c r="AF279" s="175">
        <v>4.1819600000000001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FM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FM</v>
      </c>
    </row>
    <row r="281" spans="26:37" ht="15" x14ac:dyDescent="0.25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61.587389999999999</v>
      </c>
      <c r="AF281" s="175">
        <v>2.5138699999999998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FM</v>
      </c>
    </row>
    <row r="282" spans="26:37" ht="15" x14ac:dyDescent="0.25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12.600339999999999</v>
      </c>
      <c r="AF282" s="175">
        <v>0.51432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DB</v>
      </c>
    </row>
    <row r="283" spans="26:37" ht="15" x14ac:dyDescent="0.25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12.600339999999999</v>
      </c>
      <c r="AF283" s="175">
        <v>0.51432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DB</v>
      </c>
    </row>
    <row r="284" spans="26:37" ht="15" x14ac:dyDescent="0.25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12.600339999999999</v>
      </c>
      <c r="AF284" s="175">
        <v>0.51432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DB</v>
      </c>
    </row>
    <row r="285" spans="26:37" ht="15" x14ac:dyDescent="0.25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12.600339999999999</v>
      </c>
      <c r="AF285" s="175">
        <v>0.51432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DB</v>
      </c>
    </row>
    <row r="286" spans="26:37" ht="15" x14ac:dyDescent="0.25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12.600339999999999</v>
      </c>
      <c r="AF286" s="175">
        <v>0.51432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DB</v>
      </c>
    </row>
    <row r="287" spans="26:37" ht="15" x14ac:dyDescent="0.25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12.600339999999999</v>
      </c>
      <c r="AF287" s="175">
        <v>0.51432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DB</v>
      </c>
    </row>
    <row r="288" spans="26:37" ht="15" x14ac:dyDescent="0.25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25.99616</v>
      </c>
      <c r="AF288" s="175">
        <v>1.0610999999999999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DB</v>
      </c>
    </row>
    <row r="289" spans="26:37" ht="15" x14ac:dyDescent="0.25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25.99616</v>
      </c>
      <c r="AF289" s="175">
        <v>1.0610999999999999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DB</v>
      </c>
    </row>
    <row r="290" spans="26:37" ht="15" x14ac:dyDescent="0.25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25.99616</v>
      </c>
      <c r="AF290" s="175">
        <v>1.0610999999999999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DB</v>
      </c>
    </row>
    <row r="291" spans="26:37" ht="15" x14ac:dyDescent="0.25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25.99616</v>
      </c>
      <c r="AF291" s="175">
        <v>1.0610999999999999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DB</v>
      </c>
    </row>
    <row r="292" spans="26:37" ht="15" x14ac:dyDescent="0.25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25.99616</v>
      </c>
      <c r="AF292" s="175">
        <v>1.0610999999999999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DB</v>
      </c>
    </row>
    <row r="293" spans="26:37" ht="15" x14ac:dyDescent="0.25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25.99616</v>
      </c>
      <c r="AF293" s="175">
        <v>1.0610999999999999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DB</v>
      </c>
    </row>
    <row r="294" spans="26:37" ht="15" x14ac:dyDescent="0.25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152.06783999999999</v>
      </c>
      <c r="AF294" s="175">
        <v>6.20709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PÁR</v>
      </c>
    </row>
    <row r="295" spans="26:37" ht="15" x14ac:dyDescent="0.25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203.32050000000001</v>
      </c>
      <c r="AF295" s="175">
        <v>8.2991100000000007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PÁR</v>
      </c>
    </row>
    <row r="296" spans="26:37" ht="15" x14ac:dyDescent="0.25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203.32050000000001</v>
      </c>
      <c r="AF296" s="175">
        <v>8.2991100000000007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PÁR</v>
      </c>
    </row>
    <row r="297" spans="26:37" ht="15" x14ac:dyDescent="0.25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252.14331999999999</v>
      </c>
      <c r="AF297" s="175">
        <v>10.29196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PÁR</v>
      </c>
    </row>
    <row r="298" spans="26:37" ht="15" x14ac:dyDescent="0.25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152.87047999999999</v>
      </c>
      <c r="AF298" s="175">
        <v>6.2398499999999997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PÁR</v>
      </c>
    </row>
    <row r="299" spans="26:37" ht="15" x14ac:dyDescent="0.25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194.60856999999999</v>
      </c>
      <c r="AF299" s="175">
        <v>7.9435099999999998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PÁR</v>
      </c>
    </row>
    <row r="300" spans="26:37" ht="15" x14ac:dyDescent="0.25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326.22266000000002</v>
      </c>
      <c r="AF300" s="175">
        <v>13.315720000000001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FM</v>
      </c>
    </row>
    <row r="301" spans="26:37" ht="15" x14ac:dyDescent="0.25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92.396720000000002</v>
      </c>
      <c r="AF301" s="175">
        <v>3.7714400000000001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FM</v>
      </c>
    </row>
    <row r="302" spans="26:37" ht="15" x14ac:dyDescent="0.25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92.396720000000002</v>
      </c>
      <c r="AF302" s="175">
        <v>3.7714400000000001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FM</v>
      </c>
    </row>
    <row r="303" spans="26:37" ht="15" x14ac:dyDescent="0.25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92.396720000000002</v>
      </c>
      <c r="AF303" s="175">
        <v>3.7714400000000001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FM</v>
      </c>
    </row>
    <row r="304" spans="26:37" ht="15" x14ac:dyDescent="0.25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120.87801</v>
      </c>
      <c r="AF304" s="175">
        <v>4.93398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FM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120.87801</v>
      </c>
      <c r="AF305" s="175">
        <v>4.93398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FM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120.87801</v>
      </c>
      <c r="AF306" s="175">
        <v>4.93398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FM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120.87801</v>
      </c>
      <c r="AF307" s="175">
        <v>4.93398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FM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120.87801</v>
      </c>
      <c r="AF308" s="175">
        <v>4.93398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FM</v>
      </c>
    </row>
    <row r="309" spans="26:37" ht="15" x14ac:dyDescent="0.25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95.650009999999995</v>
      </c>
      <c r="AF309" s="175">
        <v>3.9042400000000002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FM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95.650009999999995</v>
      </c>
      <c r="AF310" s="175">
        <v>3.9042400000000002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FM</v>
      </c>
    </row>
    <row r="311" spans="26:37" ht="15" x14ac:dyDescent="0.25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260.05972000000003</v>
      </c>
      <c r="AF311" s="175">
        <v>10.61509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FM</v>
      </c>
    </row>
    <row r="312" spans="26:37" ht="15" x14ac:dyDescent="0.25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540.54475000000002</v>
      </c>
      <c r="AF312" s="175">
        <v>22.063890000000001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FM</v>
      </c>
    </row>
    <row r="313" spans="26:37" ht="15" x14ac:dyDescent="0.25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119.16104</v>
      </c>
      <c r="AF313" s="175">
        <v>4.8639000000000001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FM</v>
      </c>
    </row>
    <row r="314" spans="26:37" ht="15" x14ac:dyDescent="0.25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119.16104</v>
      </c>
      <c r="AF314" s="175">
        <v>4.8639000000000001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FM</v>
      </c>
    </row>
    <row r="315" spans="26:37" ht="15" x14ac:dyDescent="0.25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119.16104</v>
      </c>
      <c r="AF315" s="175">
        <v>4.8639000000000001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FM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330.95582999999999</v>
      </c>
      <c r="AF316" s="175">
        <v>13.50892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FM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FM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FM</v>
      </c>
    </row>
    <row r="321" spans="26:37" ht="15" x14ac:dyDescent="0.25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323.09528</v>
      </c>
      <c r="AF321" s="175">
        <v>13.18806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FM</v>
      </c>
    </row>
    <row r="322" spans="26:37" ht="15" x14ac:dyDescent="0.25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138.55318</v>
      </c>
      <c r="AF322" s="175">
        <v>5.6554399999999996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SZETT</v>
      </c>
    </row>
    <row r="323" spans="26:37" ht="15" x14ac:dyDescent="0.25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138.55318</v>
      </c>
      <c r="AF323" s="175">
        <v>5.6554399999999996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SZETT</v>
      </c>
    </row>
    <row r="324" spans="26:37" ht="15" x14ac:dyDescent="0.25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138.55318</v>
      </c>
      <c r="AF324" s="175">
        <v>5.6554399999999996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SZETT</v>
      </c>
    </row>
    <row r="325" spans="26:37" ht="15" x14ac:dyDescent="0.25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138.55318</v>
      </c>
      <c r="AF325" s="175">
        <v>5.6554399999999996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SZETT</v>
      </c>
    </row>
    <row r="326" spans="26:37" ht="15" x14ac:dyDescent="0.25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SZETT</v>
      </c>
    </row>
    <row r="327" spans="26:37" ht="15" x14ac:dyDescent="0.25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SZETT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197.81970999999999</v>
      </c>
      <c r="AF330" s="175">
        <v>8.0745900000000006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PÁR</v>
      </c>
    </row>
    <row r="331" spans="26:37" ht="15" x14ac:dyDescent="0.25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33.088560000000001</v>
      </c>
      <c r="AF331" s="175">
        <v>1.3506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DB</v>
      </c>
    </row>
    <row r="332" spans="26:37" ht="15" x14ac:dyDescent="0.25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10.080159999999999</v>
      </c>
      <c r="AF332" s="175">
        <v>0.41143999999999997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DB</v>
      </c>
    </row>
    <row r="333" spans="26:37" ht="15" x14ac:dyDescent="0.25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10.080159999999999</v>
      </c>
      <c r="AF333" s="175">
        <v>0.41143999999999997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DB</v>
      </c>
    </row>
    <row r="334" spans="26:37" ht="15" x14ac:dyDescent="0.25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10.080159999999999</v>
      </c>
      <c r="AF334" s="175">
        <v>0.41143999999999997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DB</v>
      </c>
    </row>
    <row r="335" spans="26:37" ht="15" x14ac:dyDescent="0.25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10.080159999999999</v>
      </c>
      <c r="AF335" s="175">
        <v>0.41143999999999997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DB</v>
      </c>
    </row>
    <row r="336" spans="26:37" ht="15" x14ac:dyDescent="0.25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10.080159999999999</v>
      </c>
      <c r="AF336" s="175">
        <v>0.41143999999999997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DB</v>
      </c>
    </row>
    <row r="337" spans="26:37" ht="15" x14ac:dyDescent="0.25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10.080159999999999</v>
      </c>
      <c r="AF337" s="175">
        <v>0.41143999999999997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DB</v>
      </c>
    </row>
    <row r="338" spans="26:37" ht="15" x14ac:dyDescent="0.25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10.080159999999999</v>
      </c>
      <c r="AF338" s="175">
        <v>0.41143999999999997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DB</v>
      </c>
    </row>
    <row r="339" spans="26:37" ht="15" x14ac:dyDescent="0.25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101.91293</v>
      </c>
      <c r="AF339" s="175">
        <v>4.1598800000000002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FM</v>
      </c>
    </row>
    <row r="340" spans="26:37" ht="15" x14ac:dyDescent="0.25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101.91293</v>
      </c>
      <c r="AF340" s="175">
        <v>4.1598800000000002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FM</v>
      </c>
    </row>
    <row r="341" spans="26:37" ht="15" x14ac:dyDescent="0.25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101.91293</v>
      </c>
      <c r="AF341" s="175">
        <v>4.1598800000000002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FM</v>
      </c>
    </row>
    <row r="342" spans="26:37" ht="15" x14ac:dyDescent="0.25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101.91293</v>
      </c>
      <c r="AF342" s="175">
        <v>4.1598800000000002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FM</v>
      </c>
    </row>
    <row r="343" spans="26:37" ht="15" x14ac:dyDescent="0.25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101.91293</v>
      </c>
      <c r="AF343" s="175">
        <v>4.1598800000000002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FM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101.91293</v>
      </c>
      <c r="AF344" s="175">
        <v>4.1598800000000002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FM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101.91293</v>
      </c>
      <c r="AF345" s="175">
        <v>4.1598800000000002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FM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101.91293</v>
      </c>
      <c r="AF346" s="175">
        <v>4.1598800000000002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FM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80.64667</v>
      </c>
      <c r="AF347" s="175">
        <v>3.29183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FM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80.64667</v>
      </c>
      <c r="AF348" s="175">
        <v>3.29183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FM</v>
      </c>
    </row>
    <row r="349" spans="26:37" ht="15" x14ac:dyDescent="0.25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29.03265</v>
      </c>
      <c r="AF349" s="175">
        <v>1.1850499999999999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DB</v>
      </c>
    </row>
    <row r="350" spans="26:37" ht="15" x14ac:dyDescent="0.25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29.03265</v>
      </c>
      <c r="AF350" s="175">
        <v>1.1850499999999999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DB</v>
      </c>
    </row>
    <row r="351" spans="26:37" ht="15" x14ac:dyDescent="0.25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29.03265</v>
      </c>
      <c r="AF351" s="175">
        <v>1.1850499999999999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DB</v>
      </c>
    </row>
    <row r="352" spans="26:37" ht="15" x14ac:dyDescent="0.25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29.03265</v>
      </c>
      <c r="AF352" s="175">
        <v>1.1850499999999999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DB</v>
      </c>
    </row>
    <row r="353" spans="26:37" ht="15" x14ac:dyDescent="0.25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29.03265</v>
      </c>
      <c r="AF353" s="175">
        <v>1.1850499999999999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DB</v>
      </c>
    </row>
    <row r="354" spans="26:37" ht="15" x14ac:dyDescent="0.25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29.03265</v>
      </c>
      <c r="AF354" s="175">
        <v>1.1850499999999999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DB</v>
      </c>
    </row>
    <row r="355" spans="26:37" ht="15" x14ac:dyDescent="0.25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29.03265</v>
      </c>
      <c r="AF355" s="175">
        <v>1.1850499999999999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DB</v>
      </c>
    </row>
    <row r="356" spans="26:37" ht="15" x14ac:dyDescent="0.25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29.03265</v>
      </c>
      <c r="AF356" s="175">
        <v>1.1850499999999999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DB</v>
      </c>
    </row>
    <row r="357" spans="26:37" ht="15" x14ac:dyDescent="0.25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22.980499999999999</v>
      </c>
      <c r="AF357" s="175">
        <v>0.93801999999999996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DB</v>
      </c>
    </row>
    <row r="358" spans="26:37" ht="15" x14ac:dyDescent="0.25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22.980499999999999</v>
      </c>
      <c r="AF358" s="175">
        <v>0.93801999999999996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DB</v>
      </c>
    </row>
    <row r="359" spans="26:37" ht="15" x14ac:dyDescent="0.25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849.18970000000002</v>
      </c>
      <c r="AF359" s="175">
        <v>34.662129999999998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FM</v>
      </c>
    </row>
    <row r="360" spans="26:37" ht="15" x14ac:dyDescent="0.25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934.85699</v>
      </c>
      <c r="AF360" s="175">
        <v>38.158880000000003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FM</v>
      </c>
    </row>
    <row r="361" spans="26:37" ht="15" x14ac:dyDescent="0.25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FM</v>
      </c>
    </row>
    <row r="362" spans="26:37" ht="15" x14ac:dyDescent="0.25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91.18235</v>
      </c>
      <c r="AF362" s="175">
        <v>3.7218599999999999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PÁR</v>
      </c>
    </row>
    <row r="363" spans="26:37" ht="15" x14ac:dyDescent="0.25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91.18235</v>
      </c>
      <c r="AF363" s="175">
        <v>3.7218599999999999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PÁR</v>
      </c>
    </row>
    <row r="364" spans="26:37" ht="15" x14ac:dyDescent="0.25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91.18235</v>
      </c>
      <c r="AF364" s="175">
        <v>3.7218599999999999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PÁR</v>
      </c>
    </row>
    <row r="365" spans="26:37" ht="15" x14ac:dyDescent="0.25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367.85561999999999</v>
      </c>
      <c r="AF365" s="175">
        <v>15.015079999999999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DB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3084.3579399999999</v>
      </c>
      <c r="AF366" s="175">
        <v>125.89695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DB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3068.7211400000001</v>
      </c>
      <c r="AF367" s="175">
        <v>125.25867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DB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3244.9143199999999</v>
      </c>
      <c r="AF368" s="175">
        <v>132.45052000000001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DB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3390.1131300000002</v>
      </c>
      <c r="AF369" s="175">
        <v>138.37721999999999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DB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3505.1552700000002</v>
      </c>
      <c r="AF370" s="175">
        <v>143.07300000000001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DB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39.343299999999999</v>
      </c>
      <c r="AF372" s="175">
        <v>1.6059099999999999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PÁR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522.43650000000002</v>
      </c>
      <c r="AF373" s="175">
        <v>21.324739999999998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PÁR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343.54906</v>
      </c>
      <c r="AF374" s="175">
        <v>14.02294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FM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343.54906</v>
      </c>
      <c r="AF375" s="175">
        <v>14.02294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FM</v>
      </c>
    </row>
    <row r="376" spans="26:37" ht="15" x14ac:dyDescent="0.25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343.54906</v>
      </c>
      <c r="AF376" s="175">
        <v>14.02294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FM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400.30196000000001</v>
      </c>
      <c r="AF377" s="175">
        <v>16.339469999999999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FM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400.30196000000001</v>
      </c>
      <c r="AF378" s="175">
        <v>16.339469999999999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FM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400.30196000000001</v>
      </c>
      <c r="AF379" s="175">
        <v>16.339469999999999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FM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400.30196000000001</v>
      </c>
      <c r="AF380" s="175">
        <v>16.339469999999999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FM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400.30196000000001</v>
      </c>
      <c r="AF381" s="175">
        <v>16.339469999999999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FM</v>
      </c>
    </row>
    <row r="382" spans="26:37" ht="15" x14ac:dyDescent="0.25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316.77104000000003</v>
      </c>
      <c r="AF382" s="175">
        <v>12.929919999999999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FM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316.77104000000003</v>
      </c>
      <c r="AF383" s="175">
        <v>12.929919999999999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FM</v>
      </c>
    </row>
    <row r="384" spans="26:37" ht="15" x14ac:dyDescent="0.25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42.24727</v>
      </c>
      <c r="AF384" s="175">
        <v>1.72444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PÁR</v>
      </c>
    </row>
    <row r="385" spans="26:37" ht="15" x14ac:dyDescent="0.25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42.24727</v>
      </c>
      <c r="AF385" s="175">
        <v>1.72444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PÁR</v>
      </c>
    </row>
    <row r="386" spans="26:37" ht="15" x14ac:dyDescent="0.25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42.24727</v>
      </c>
      <c r="AF386" s="175">
        <v>1.72444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PÁR</v>
      </c>
    </row>
    <row r="387" spans="26:37" ht="15" x14ac:dyDescent="0.25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42.24727</v>
      </c>
      <c r="AF387" s="175">
        <v>1.72444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PÁR</v>
      </c>
    </row>
    <row r="388" spans="26:37" ht="15" x14ac:dyDescent="0.25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45.38888</v>
      </c>
      <c r="AF388" s="175">
        <v>1.8526800000000001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PÁR</v>
      </c>
    </row>
    <row r="389" spans="26:37" ht="15" x14ac:dyDescent="0.25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45.38888</v>
      </c>
      <c r="AF389" s="175">
        <v>1.8526800000000001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PÁR</v>
      </c>
    </row>
    <row r="390" spans="26:37" ht="15" x14ac:dyDescent="0.25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45.38888</v>
      </c>
      <c r="AF390" s="175">
        <v>1.8526800000000001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PÁR</v>
      </c>
    </row>
    <row r="391" spans="26:37" ht="15" x14ac:dyDescent="0.25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45.38888</v>
      </c>
      <c r="AF391" s="175">
        <v>1.8526800000000001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PÁR</v>
      </c>
    </row>
    <row r="392" spans="26:37" ht="15" x14ac:dyDescent="0.25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754.89422999999999</v>
      </c>
      <c r="AF392" s="175">
        <v>30.813189999999999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FM</v>
      </c>
    </row>
    <row r="393" spans="26:37" ht="15" x14ac:dyDescent="0.25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32.753509999999999</v>
      </c>
      <c r="AF393" s="175">
        <v>1.33694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PÁR</v>
      </c>
    </row>
    <row r="394" spans="26:37" ht="15" x14ac:dyDescent="0.25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822.64931000000001</v>
      </c>
      <c r="AF394" s="175">
        <v>33.578800000000001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FM</v>
      </c>
    </row>
    <row r="395" spans="26:37" ht="15" x14ac:dyDescent="0.25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1115.81131</v>
      </c>
      <c r="AF395" s="175">
        <v>45.54504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FM</v>
      </c>
    </row>
    <row r="396" spans="26:37" ht="15" x14ac:dyDescent="0.25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48.376609999999999</v>
      </c>
      <c r="AF396" s="175">
        <v>1.97462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PÁR</v>
      </c>
    </row>
    <row r="397" spans="26:37" ht="15" x14ac:dyDescent="0.25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888.85438999999997</v>
      </c>
      <c r="AF397" s="175">
        <v>36.281149999999997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FM</v>
      </c>
    </row>
    <row r="398" spans="26:37" ht="15" x14ac:dyDescent="0.25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130.95815999999999</v>
      </c>
      <c r="AF398" s="175">
        <v>5.34544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FM</v>
      </c>
    </row>
    <row r="399" spans="26:37" ht="15" x14ac:dyDescent="0.25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130.95815999999999</v>
      </c>
      <c r="AF399" s="175">
        <v>5.34544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FM</v>
      </c>
    </row>
    <row r="400" spans="26:37" ht="15" x14ac:dyDescent="0.25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130.95815999999999</v>
      </c>
      <c r="AF400" s="175">
        <v>5.34544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FM</v>
      </c>
    </row>
    <row r="401" spans="26:37" ht="15" x14ac:dyDescent="0.25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221.44242</v>
      </c>
      <c r="AF401" s="175">
        <v>9.0388199999999994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FM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FM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FM</v>
      </c>
    </row>
    <row r="407" spans="26:37" ht="15" x14ac:dyDescent="0.25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64.641390000000001</v>
      </c>
      <c r="AF407" s="175">
        <v>2.6385299999999998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PÁR</v>
      </c>
    </row>
    <row r="408" spans="26:37" ht="15" x14ac:dyDescent="0.25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64.641390000000001</v>
      </c>
      <c r="AF408" s="175">
        <v>2.6385299999999998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PÁR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209.5889</v>
      </c>
      <c r="AF410" s="175">
        <v>8.5549700000000009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FM</v>
      </c>
    </row>
    <row r="411" spans="26:37" ht="15" x14ac:dyDescent="0.25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209.5889</v>
      </c>
      <c r="AF411" s="175">
        <v>8.5549700000000009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FM</v>
      </c>
    </row>
    <row r="412" spans="26:37" ht="15" x14ac:dyDescent="0.25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209.5889</v>
      </c>
      <c r="AF412" s="175">
        <v>8.5549700000000009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FM</v>
      </c>
    </row>
    <row r="413" spans="26:37" ht="15" x14ac:dyDescent="0.25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293.14830999999998</v>
      </c>
      <c r="AF413" s="175">
        <v>11.96569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FM</v>
      </c>
    </row>
    <row r="414" spans="26:37" ht="15" x14ac:dyDescent="0.25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293.14830999999998</v>
      </c>
      <c r="AF414" s="175">
        <v>11.96569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FM</v>
      </c>
    </row>
    <row r="415" spans="26:37" ht="15" x14ac:dyDescent="0.25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FM</v>
      </c>
    </row>
    <row r="416" spans="26:37" ht="15" x14ac:dyDescent="0.25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FM</v>
      </c>
    </row>
    <row r="417" spans="26:37" ht="15" x14ac:dyDescent="0.25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PÁR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226.929</v>
      </c>
      <c r="AF418" s="175">
        <v>9.2627699999999997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FM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226.929</v>
      </c>
      <c r="AF419" s="175">
        <v>9.2627699999999997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FM</v>
      </c>
    </row>
    <row r="420" spans="26:37" ht="15" x14ac:dyDescent="0.25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226.929</v>
      </c>
      <c r="AF420" s="175">
        <v>9.2627699999999997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FM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307.31887999999998</v>
      </c>
      <c r="AF421" s="175">
        <v>12.5441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FM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307.31887999999998</v>
      </c>
      <c r="AF422" s="175">
        <v>12.5441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FM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307.31887999999998</v>
      </c>
      <c r="AF423" s="175">
        <v>12.5441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FM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307.31887999999998</v>
      </c>
      <c r="AF424" s="175">
        <v>12.5441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FM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307.31887999999998</v>
      </c>
      <c r="AF425" s="175">
        <v>12.5441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FM</v>
      </c>
    </row>
    <row r="426" spans="26:37" ht="15" x14ac:dyDescent="0.25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243.19434000000001</v>
      </c>
      <c r="AF426" s="175">
        <v>9.9266799999999993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FM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243.19434000000001</v>
      </c>
      <c r="AF427" s="175">
        <v>9.9266799999999993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FM</v>
      </c>
    </row>
    <row r="428" spans="26:37" ht="15" x14ac:dyDescent="0.25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570.51966000000004</v>
      </c>
      <c r="AF428" s="175">
        <v>23.287410000000001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FM</v>
      </c>
    </row>
    <row r="429" spans="26:37" ht="15" x14ac:dyDescent="0.25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486.98874000000001</v>
      </c>
      <c r="AF429" s="175">
        <v>19.877839999999999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FM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134.29524000000001</v>
      </c>
      <c r="AF430" s="175">
        <v>5.4816500000000001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FM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134.29524000000001</v>
      </c>
      <c r="AF431" s="175">
        <v>5.4816500000000001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FM</v>
      </c>
    </row>
    <row r="432" spans="26:37" ht="15" x14ac:dyDescent="0.25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134.29524000000001</v>
      </c>
      <c r="AF432" s="175">
        <v>5.4816500000000001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FM</v>
      </c>
    </row>
    <row r="433" spans="26:37" ht="15" x14ac:dyDescent="0.25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196.24179000000001</v>
      </c>
      <c r="AF433" s="175">
        <v>8.0101800000000001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FM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FM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921.11895000000004</v>
      </c>
      <c r="AF438" s="175">
        <v>37.598120000000002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FM</v>
      </c>
    </row>
    <row r="439" spans="26:37" ht="15" x14ac:dyDescent="0.25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1271.6065599999999</v>
      </c>
      <c r="AF439" s="175">
        <v>51.90428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FM</v>
      </c>
    </row>
    <row r="440" spans="26:37" ht="15" x14ac:dyDescent="0.25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830.70477000000005</v>
      </c>
      <c r="AF440" s="175">
        <v>33.907600000000002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DB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203.32050000000001</v>
      </c>
      <c r="AF442" s="175">
        <v>8.2991100000000007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DB</v>
      </c>
    </row>
    <row r="443" spans="26:37" ht="15" x14ac:dyDescent="0.25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253.73493999999999</v>
      </c>
      <c r="AF443" s="175">
        <v>10.356920000000001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DB</v>
      </c>
    </row>
    <row r="444" spans="26:37" ht="15" x14ac:dyDescent="0.25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19.85314</v>
      </c>
      <c r="AF444" s="175">
        <v>0.81035999999999997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DB</v>
      </c>
    </row>
    <row r="445" spans="26:37" ht="15" x14ac:dyDescent="0.25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63.236220000000003</v>
      </c>
      <c r="AF445" s="175">
        <v>2.5811899999999999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FM</v>
      </c>
    </row>
    <row r="446" spans="26:37" ht="15" x14ac:dyDescent="0.25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28.153890000000001</v>
      </c>
      <c r="AF446" s="175">
        <v>1.1491800000000001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FM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15.49718</v>
      </c>
      <c r="AF448" s="175">
        <v>0.63256999999999997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DB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15.49718</v>
      </c>
      <c r="AF449" s="175">
        <v>0.63256999999999997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DB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15.49718</v>
      </c>
      <c r="AF450" s="175">
        <v>0.63256999999999997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DB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15.49718</v>
      </c>
      <c r="AF451" s="175">
        <v>0.63256999999999997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DB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PÁR</v>
      </c>
    </row>
    <row r="453" spans="26:37" ht="15" x14ac:dyDescent="0.25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4.2864100000000001</v>
      </c>
      <c r="AF453" s="175">
        <v>0.17496999999999999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DB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73.072969999999998</v>
      </c>
      <c r="AF455" s="175">
        <v>2.9826800000000002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DB</v>
      </c>
    </row>
    <row r="456" spans="26:37" ht="15" x14ac:dyDescent="0.25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1024.21012</v>
      </c>
      <c r="AF457" s="175">
        <v>41.806080000000001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DB</v>
      </c>
    </row>
    <row r="458" spans="26:37" ht="15" x14ac:dyDescent="0.25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1262.6712399999999</v>
      </c>
      <c r="AF458" s="175">
        <v>51.539569999999998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SZETT</v>
      </c>
    </row>
    <row r="459" spans="26:37" ht="15" x14ac:dyDescent="0.25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FM</v>
      </c>
    </row>
    <row r="460" spans="26:37" ht="15" x14ac:dyDescent="0.25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91.18235</v>
      </c>
      <c r="AF460" s="175">
        <v>3.7218599999999999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PÁR</v>
      </c>
    </row>
    <row r="461" spans="26:37" ht="15" x14ac:dyDescent="0.25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130.37179</v>
      </c>
      <c r="AF461" s="175">
        <v>5.3215000000000003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DB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457.0412</v>
      </c>
      <c r="AF463" s="175">
        <v>18.655460000000001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FM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572.08334000000002</v>
      </c>
      <c r="AF464" s="175">
        <v>23.351230000000001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FM</v>
      </c>
    </row>
    <row r="465" spans="23:37" ht="15" x14ac:dyDescent="0.25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780.10965999999996</v>
      </c>
      <c r="AF465" s="175">
        <v>31.842420000000001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FM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16.614090000000001</v>
      </c>
      <c r="AF466" s="175">
        <v>0.67815999999999999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FM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250</v>
      </c>
      <c r="AF467" s="337">
        <v>10</v>
      </c>
      <c r="AG467" s="174">
        <v>40</v>
      </c>
      <c r="AH467" s="175">
        <v>2800</v>
      </c>
      <c r="AI467" s="174" t="s">
        <v>643</v>
      </c>
      <c r="AJ467" s="174" t="s">
        <v>2057</v>
      </c>
      <c r="AK467" s="174" t="str">
        <f t="shared" si="52"/>
        <v>DB</v>
      </c>
    </row>
    <row r="468" spans="23:37" ht="15" x14ac:dyDescent="0.25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FM</v>
      </c>
    </row>
    <row r="469" spans="23:37" ht="15" x14ac:dyDescent="0.25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FM</v>
      </c>
    </row>
    <row r="470" spans="23:37" ht="15" x14ac:dyDescent="0.25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FM</v>
      </c>
    </row>
    <row r="471" spans="23:37" ht="15" x14ac:dyDescent="0.25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FM</v>
      </c>
    </row>
    <row r="472" spans="23:37" ht="15" x14ac:dyDescent="0.25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FM</v>
      </c>
    </row>
    <row r="473" spans="23:37" ht="15" x14ac:dyDescent="0.25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PÁR</v>
      </c>
    </row>
    <row r="474" spans="23:37" ht="15" x14ac:dyDescent="0.25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PÁR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78.012069999999994</v>
      </c>
      <c r="AF476" s="175">
        <v>3.1842800000000002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FM</v>
      </c>
    </row>
    <row r="477" spans="23:37" ht="15" x14ac:dyDescent="0.25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92.396720000000002</v>
      </c>
      <c r="AF477" s="175">
        <v>3.7714400000000001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FM</v>
      </c>
    </row>
    <row r="478" spans="23:37" ht="15" x14ac:dyDescent="0.25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417.64204999999998</v>
      </c>
      <c r="AF478" s="175">
        <v>17.047270000000001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FM</v>
      </c>
    </row>
    <row r="479" spans="23:37" ht="15" x14ac:dyDescent="0.25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209.5889</v>
      </c>
      <c r="AF479" s="175">
        <v>8.5549700000000009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FM</v>
      </c>
    </row>
    <row r="480" spans="23:37" ht="15" x14ac:dyDescent="0.25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226.929</v>
      </c>
      <c r="AF480" s="175">
        <v>9.2627699999999997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FM</v>
      </c>
    </row>
    <row r="481" spans="26:37" ht="15" x14ac:dyDescent="0.25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42.24727</v>
      </c>
      <c r="AF481" s="175">
        <v>1.72444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PÁR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3606.7944399999997</v>
      </c>
      <c r="AF503" s="175">
        <v>147.22169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SZETT</v>
      </c>
    </row>
    <row r="504" spans="26:37" ht="15.75" thickBot="1" x14ac:dyDescent="0.3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3591.1576400000004</v>
      </c>
      <c r="AF504" s="175">
        <v>146.58340999999999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SZETT</v>
      </c>
    </row>
    <row r="505" spans="26:37" ht="15.75" thickBot="1" x14ac:dyDescent="0.3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3767.3508199999997</v>
      </c>
      <c r="AF505" s="175">
        <v>153.77526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SZETT</v>
      </c>
    </row>
    <row r="506" spans="26:37" ht="15.75" thickBot="1" x14ac:dyDescent="0.3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3912.5496300000004</v>
      </c>
      <c r="AF506" s="175">
        <v>159.70195999999999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SZETT</v>
      </c>
    </row>
    <row r="507" spans="26:37" ht="15.75" thickBot="1" x14ac:dyDescent="0.3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4027.59177</v>
      </c>
      <c r="AF507" s="175">
        <v>164.39774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SZETT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/>
      <c r="AF508" s="175"/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3084.3579399999999</v>
      </c>
      <c r="AF509" s="175">
        <v>125.89695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3068.7211400000001</v>
      </c>
      <c r="AF510" s="175">
        <v>125.25867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3244.9143199999999</v>
      </c>
      <c r="AF511" s="175">
        <v>132.45052000000001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3390.1131300000002</v>
      </c>
      <c r="AF512" s="175">
        <v>138.37721999999999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3505.1552700000002</v>
      </c>
      <c r="AF513" s="175">
        <v>143.07300000000001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522.43650000000002</v>
      </c>
      <c r="AF515" s="175">
        <v>21.324739999999998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2">
      <c r="A2" s="616" t="s">
        <v>1322</v>
      </c>
      <c r="B2" s="616"/>
      <c r="C2" s="616"/>
      <c r="D2" s="616"/>
      <c r="E2" s="616"/>
      <c r="F2" s="616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17" t="s">
        <v>1328</v>
      </c>
      <c r="B7" s="617"/>
      <c r="C7" s="617"/>
      <c r="D7" s="617"/>
      <c r="E7" s="617"/>
      <c r="F7" s="617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16" t="s">
        <v>1315</v>
      </c>
      <c r="B10" s="616"/>
      <c r="C10" s="616"/>
      <c r="D10" s="616"/>
      <c r="E10" s="616"/>
      <c r="F10" s="616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C120" sqref="C120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4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Redőny megrendelés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>Vevő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Megnevezés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">
      <c r="A5" s="181" t="str">
        <f t="shared" si="0"/>
        <v>Utca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Hely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Azonosító szám: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Tel.: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Megjegyzések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Engedmény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>Darab szám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Előkészítení a redőnyt méretre?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">
      <c r="A13" s="184" t="str">
        <f t="shared" si="0"/>
        <v>Amennyiben az igent választja a redőny elő lesz készítve mint szett, föl lesz vágva és összelesz rakva szerelésre készen (az egyes vezető síneket kell megváltoztatni a szükség szerint)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Tekercselési rendszer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">
      <c r="A15" s="181" t="str">
        <f t="shared" si="0"/>
        <v>A szekrény méretei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">
      <c r="A16" s="181" t="str">
        <f t="shared" si="0"/>
        <v>magasság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">
      <c r="A17" s="181" t="str">
        <f t="shared" si="0"/>
        <v>szélesség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">
      <c r="A18" s="181" t="str">
        <f t="shared" si="0"/>
        <v>mélység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">
      <c r="A19" s="181" t="str">
        <f t="shared" si="0"/>
        <v>A mozgás iránya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A vezetési rendszer típusa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Szín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A megrendelés kódja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Áruválaszték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>Mennyiség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Egység ár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Ár összesen ÁFA nélkül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">
      <c r="A27" s="181" t="str">
        <f t="shared" si="0"/>
        <v>A szállítás kódja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Redőny profil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>Végző elem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Takaró léc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Vezető profil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A méretre való előkészítés díja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>Összesen ÁFA nélkül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>Dekor - bükk, cseresznye, nyír, jávor, króm, cseresznye havana, calvados, átlátszó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Vezető rendszer típus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basic-közézáródó vezetés csavarozásra műanyag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">
      <c r="A37" s="325" t="str">
        <f t="shared" si="0"/>
        <v>Classic - közézáródó vezetés bemarásra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">
      <c r="A38" s="325" t="str">
        <f t="shared" si="0"/>
        <v>Ráütődő metallic-line vezetéssel 29mm és C3 mech.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">
      <c r="A39" s="181" t="str">
        <f t="shared" si="0"/>
        <v>ALU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Nemes acél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Komponensek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Redőny páncél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Végzáró + csúszkák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>Vezető sín + sarkok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>Kiegyensúlyozó mechanika C3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Pasztel színek - fehér, fekete szürke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 line - ALU, nemes acél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szet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>ehhez a változathoz felhasználható a következő SZETT: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Kiegyenlítő mechanizmusok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>Bejelölés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Méret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>Ár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Ráépített  rendszer C3-mal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Hátra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Csigába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C3 mechanikával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Függőleges (fentről le)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Horizontális (balról jobbra)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Fekete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">
      <c r="A61" s="181" t="str">
        <f t="shared" si="0"/>
        <v>Fehér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">
      <c r="A62" s="181" t="str">
        <f t="shared" si="0"/>
        <v>Szürke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">
      <c r="A63" s="181" t="str">
        <f t="shared" si="0"/>
        <v>Alumínium-műanyag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">
      <c r="A64" s="181" t="str">
        <f t="shared" si="0"/>
        <v>Bükk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">
      <c r="A65" s="181" t="str">
        <f t="shared" si="0"/>
        <v>Cseresznye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">
      <c r="A66" s="181" t="str">
        <f t="shared" si="0"/>
        <v>Jávor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">
      <c r="A67" s="181" t="str">
        <f t="shared" ref="A67:A130" si="1">IF($A$1=1,B:B,IF($A$1=2,C:C,IF($A$1=3,D:D,IF($A$1=4,E:E))))</f>
        <v>Nyír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">
      <c r="A68" s="181" t="str">
        <f t="shared" si="1"/>
        <v>Cseresznye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">
      <c r="A70" s="181" t="str">
        <f t="shared" si="1"/>
        <v>Átlátszó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ALU szélesség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">
      <c r="A72" s="181" t="str">
        <f t="shared" si="1"/>
        <v>Nemes acél szélesség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">
      <c r="A73" s="181" t="str">
        <f t="shared" si="1"/>
        <v>korlátozás nélkül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kiegyensúlyozás nem használható  C3 mechanikával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semmilyen C BOX nem felel meg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semmilyen SZETT nem felel meg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méretek szélesség-500, magasság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méretek szélesség-500, magasság 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méretek szélesség-600, magasság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méretek szélesség-600, magasság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méretek szélesség-900, magasság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méretek szélesség-900, magasság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Az árak ÁFa nélül vannak megadva, hatályban 06.01.2025-től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">
      <c r="A84" s="181" t="str">
        <f t="shared" si="1"/>
        <v>nem lehet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 xml:space="preserve">Frame - ráütődő takaró léces vezetéssel 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">
      <c r="A86" s="325" t="str">
        <f t="shared" si="1"/>
        <v>TOP - közzézáródó vezetés csavarozásra fém takaró léccel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">
      <c r="A87" s="181" t="str">
        <f t="shared" si="1"/>
        <v>Igen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Nem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>Sekély mélység a tekercselésre!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Válassza ki aC3 mechanikát!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Csiga nem használható!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A C3 mech.nem használható!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Nem használható tekercselés csigába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Ragasztó szalag a redőnyök aláragasztására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Méret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rövidítésre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Az összetevők felsorolása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Útmutatás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Rendszer rácsavarozásra.  Olyan rendszerről van szó, amihez ALU vezető lécek tartoznak, amelyeknek a takarója identikus a redőny dekorral.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Ráépítet rendszer (FRAME). A vezető rendszer két részből áll- ALU lécek és takarók, amelyek színben azonosak a felhasznált redőny dekorral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">
      <c r="A102" s="181" t="str">
        <f t="shared" si="1"/>
        <v>A színes nézetek csak tájékoztató jellegűek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A szerelési útmutató megtalálható a honlapunkon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">
      <c r="A104" s="181" t="str">
        <f t="shared" si="1"/>
        <v xml:space="preserve">Rendszer rácsavarozásra. A vezető profilok csak a legközelebb álló uni színben vannak. 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Ver. 25.02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2758</v>
      </c>
    </row>
    <row r="106" spans="1:7" x14ac:dyDescent="0.2">
      <c r="A106" s="181" t="str">
        <f>CONCATENATE(IF($A$1=1,B:B,IF($A$1=2,C:C,IF($A$1=3,D:D,IF($A$1=4,E:E)))),F106)</f>
        <v>Az árak ÁFa nélül vannak megadva, hatályban , 06.01.2025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2757</v>
      </c>
    </row>
    <row r="107" spans="1:7" x14ac:dyDescent="0.2">
      <c r="A107" s="181" t="str">
        <f t="shared" si="1"/>
        <v>ME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">
      <c r="A108" s="181" t="str">
        <f t="shared" si="1"/>
        <v>SZETT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">
      <c r="A109" s="181" t="str">
        <f t="shared" si="1"/>
        <v>FM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">
      <c r="A110" s="181" t="str">
        <f t="shared" si="1"/>
        <v>PÁR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">
      <c r="A111" s="181" t="str">
        <f t="shared" si="1"/>
        <v>DB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">
      <c r="A112" s="184" t="str">
        <f t="shared" si="1"/>
        <v>Megrendelési űrlap Rehau 25.02 redőnyökre HU</v>
      </c>
      <c r="B112" s="185" t="str">
        <f>CONCATENATE("Objednávkový formulář na rolety Rehau ",F105," CZ")</f>
        <v>Objednávkový formulář na rolety Rehau 25.02 CZ</v>
      </c>
      <c r="C112" s="185" t="str">
        <f>CONCATENATE("Objednávkový formulár na rolety Rehau ",F105," SK")</f>
        <v>Objednávkový formulár na rolety Rehau 25.02 SK</v>
      </c>
      <c r="D112" s="185" t="str">
        <f>CONCATENATE("Formularz zamowieniowy rolet Rehau ",F105," PL")</f>
        <v>Formularz zamowieniowy rolet Rehau 25.02 PL</v>
      </c>
      <c r="E112" s="185" t="str">
        <f>CONCATENATE("Megrendelési űrlap Rehau ",F105," redőnyökre HU")</f>
        <v>Megrendelési űrlap Rehau 25.02 redőnyökre HU</v>
      </c>
      <c r="G112"/>
    </row>
    <row r="113" spans="1:5" x14ac:dyDescent="0.2">
      <c r="A113" s="181" t="str">
        <f t="shared" si="1"/>
        <v>ellenőrzésre külső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">
      <c r="A114" s="181" t="str">
        <f t="shared" si="1"/>
        <v>belső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">
      <c r="A115" s="181" t="str">
        <f t="shared" si="1"/>
        <v>(anyag va.18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">
      <c r="A116" s="181" t="str">
        <f t="shared" si="1"/>
        <v>ALU szélesség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">
      <c r="A117" s="181" t="str">
        <f t="shared" si="1"/>
        <v>Nemes acél szélesség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">
      <c r="A118" s="181" t="str">
        <f t="shared" si="1"/>
        <v>Mindig használja a legfrissebb megrendelő lapot, amelyet megtalál a web oldalunkon.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">
      <c r="A119" s="181" t="str">
        <f t="shared" si="1"/>
        <v>A kitöltött megrendelést küldje el a következő címre: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">
      <c r="A120" s="181" t="str">
        <f t="shared" si="1"/>
        <v>megrendelesek@demos-trade.com</v>
      </c>
      <c r="B120" t="s">
        <v>1798</v>
      </c>
      <c r="C120" t="s">
        <v>2759</v>
      </c>
      <c r="D120" t="s">
        <v>1799</v>
      </c>
      <c r="E120" t="s">
        <v>1800</v>
      </c>
    </row>
    <row r="121" spans="1:5" x14ac:dyDescent="0.2">
      <c r="A121" s="181" t="str">
        <f t="shared" si="1"/>
        <v>A megrendelési űrlap több lapot tartalmaz, ezek között váltani lehet az alsó részben.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">
      <c r="A122" s="181" t="str">
        <f t="shared" si="1"/>
        <v>A szórólapba a szekrény belső méreteit kell beadni ( a külső méret csak ellenőrzésre szolgál)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">
      <c r="A123" s="181" t="str">
        <f t="shared" si="1"/>
        <v>Amennyiben valamelyik tétel megrendelésre van, lehet a minimális megrendelés teljes csomagolás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">
      <c r="A124" s="181" t="str">
        <f t="shared" si="1"/>
        <v>500 mm-nél magasabb függőleges redőnynél mindig megfelelő típusú kiegyensúlyozó mechanika használatát ajánljuk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">
      <c r="A125" s="181" t="str">
        <f t="shared" si="1"/>
        <v>A szórólap, mint segítség szolgál a konfigurációhoz, a redőny helyes működéséhez mindig be kell tartani a gyártó ajánlatait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">
      <c r="A126" s="181" t="str">
        <f t="shared" si="1"/>
        <v>Kontakt telefon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">
      <c r="A127" s="181" t="str">
        <f t="shared" si="1"/>
        <v>Kontakt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">
      <c r="A128" s="181" t="str">
        <f t="shared" si="1"/>
        <v>Cím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">
      <c r="A129" s="181" t="str">
        <f t="shared" si="1"/>
        <v>Töltse ki kérem az elérhetőségét, ezután kattintson az alábbi mezőbe.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">
      <c r="A130" s="181" t="str">
        <f t="shared" si="1"/>
        <v>Az elérhetőségi adatok kitöltésével egyben elismeri, hogy megismerkedett az alábbi információkkal!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">
      <c r="A131" s="181" t="str">
        <f t="shared" ref="A131:A177" si="2">IF($A$1=1,B:B,IF($A$1=2,C:C,IF($A$1=3,D:D,IF($A$1=4,E:E))))</f>
        <v>Megrendelési űrlap Rehau redőnyökre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">
      <c r="A132" s="181" t="str">
        <f t="shared" si="2"/>
        <v>A szórólapon nincsenek megadva a szekrény maximális méretei, tartsa be a gyártó által megadott maximális méreteket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">
      <c r="A133" s="181" t="str">
        <f t="shared" si="2"/>
        <v>ALU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">
      <c r="A134" s="181" t="str">
        <f t="shared" si="2"/>
        <v>Nemes acél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">
      <c r="A135" s="181" t="str">
        <f t="shared" si="2"/>
        <v>A redőnyprofil maximális hossza a szórólapon (a redőny szélessége)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">
      <c r="A136" s="181" t="str">
        <f t="shared" si="2"/>
        <v>Amennyiben a szórólapon egyes paraméterek beadásakor nincs megadva a végösszeg, rossz kombinációt választott (kérem lépjen kapcsolatba  a technikai támogatással)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">
      <c r="A137" s="181" t="str">
        <f t="shared" si="2"/>
        <v>(az adatakot javíthatja az előszó lapon)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">
      <c r="A138" s="184" t="str">
        <f t="shared" si="2"/>
        <v>Előszó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">
      <c r="A139" s="181" t="str">
        <f t="shared" si="2"/>
        <v>Hófehér Matt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">
      <c r="A140" s="181" t="str">
        <f t="shared" si="2"/>
        <v>Alumínium-műanyag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">
      <c r="A141" s="181" t="str">
        <f t="shared" si="2"/>
        <v>Redőny profil tipusok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">
      <c r="A142" s="181" t="str">
        <f t="shared" si="2"/>
        <v>Az E9 profilnál a világos fehér kombinálható csak a Classic és a Top vezetésnél.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">
      <c r="A143" s="181" t="str">
        <f t="shared" si="2"/>
        <v xml:space="preserve"> E4 profil az alumínium műanyag színes elkészítése, alkalmas a vízszintes vezetésre,kombinálva a Classic vezetéssel,hátra tekercseléssel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">
      <c r="A144" s="181" t="str">
        <f t="shared" si="2"/>
        <v>Nem lehet kombinálni a TOP BASIC vezetésű rendszert a redőny profillal Metallic line.Szükséges választani TOP vezetésüt.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">
      <c r="A145" s="181" t="str">
        <f t="shared" si="2"/>
        <v>A Bükk színes elkészítése az E23 profilnál, nem kombinálható a FRAME vezetéssel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">
      <c r="A146" s="181" t="str">
        <f t="shared" si="2"/>
        <v xml:space="preserve"> Ráütődő metallic-line vezetéssel 29mm és C3 mech.,kombinálható csak tekercseléses vezetéssel a C3 mechanikára.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">
      <c r="A147" s="181" t="str">
        <f t="shared" si="2"/>
        <v xml:space="preserve"> TOP BASIC vezetésü rendszer nem kombinálható a csiga vezetéssel.Javasoljuk a TOP vezetésű verzió kiválasztását.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">
      <c r="A148" s="181" t="str">
        <f t="shared" si="2"/>
        <v>A vízszintes mozgásnál  maximális ajánlott magasság az E4 profillal kombinálva 1900 mm.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">
      <c r="A149" s="181" t="str">
        <f t="shared" si="2"/>
        <v>Tekercselési rendszer a C3 mechanikára,nem lehet kombinálni a TOP BASIC vezetéssel,a vezetési profil testreszabása nélkül (lásd a használati utasítást).Egy másik lehetőség a TOP vezetés választása.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">
      <c r="A150" s="181" t="str">
        <f t="shared" si="2"/>
        <v>Tekercselési rendszer a C3 mechanikára,nem lehet kombinálni a Classic vezetéssel,javasolunk hogy válasszon egy másik tekercselési rendszert.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">
      <c r="A151" s="181" t="str">
        <f t="shared" si="2"/>
        <v>A ráütődő vezetésü rendszer metallic-line  29mm és  C3 mech.-át,  javasoljuk a Metallic Line profillal kombinálni.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">
      <c r="A152" s="181" t="str">
        <f t="shared" si="2"/>
        <v>Nem lehet kombinálni a TOP BASIC vezetésű rendszert a redőny profillal Metallic line.Szükséges választani TOP vezetésüt.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">
      <c r="A153" s="181" t="str">
        <f t="shared" si="2"/>
        <v>A vezetésnél, hátra és a csigába ,nem lehet használni ráütődő rendszert 29mm és a C3 mech.Szükséges választani FRAME verziót.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">
      <c r="A154" s="181" t="str">
        <f t="shared" si="2"/>
        <v>A vízszintes vezetésnél nem használható C3 mechanika.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">
      <c r="A155" s="181" t="str">
        <f t="shared" si="2"/>
        <v xml:space="preserve"> A szekrény magassága 800mm (belső méreteit) felett javasolt a C3 mechanika(a magasság és szélesség kombinációját is figyelembe kell venni).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">
      <c r="A156" s="181" t="str">
        <f t="shared" si="2"/>
        <v xml:space="preserve"> 1164 mm (belső méreteit)-nél szélesebb szekrénybe nem ajánlott a függőleges vezetésü redőny . Megoldás ,a redőny felosztása vagy  horizontális mozgás.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">
      <c r="A157" s="181" t="str">
        <f t="shared" si="2"/>
        <v>Vízszintes mozgás  esetén a redőny tipus E23, E9 vagy Metallic line esetén a javasolt maximális magasság 1150 mm (belső méreteit). Egy magasabb verzióhoz választani a E4 profilt kombinálva a Classic vezetéssel együtt.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x14ac:dyDescent="0.2">
      <c r="A158" s="181" t="str">
        <f t="shared" si="2"/>
        <v>Szín alumínium vagy nemesacél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x14ac:dyDescent="0.2">
      <c r="A159" s="181" t="str">
        <f t="shared" si="2"/>
        <v>Classic (kombinálva műanyag vezetéssel)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x14ac:dyDescent="0.2">
      <c r="A160" s="181" t="str">
        <f t="shared" si="2"/>
        <v>elegáns design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x14ac:dyDescent="0.2">
      <c r="A161" s="181" t="str">
        <f t="shared" si="2"/>
        <v xml:space="preserve">Szín csak  Alumínium műanyag 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x14ac:dyDescent="0.2">
      <c r="A162" s="181" t="str">
        <f t="shared" si="2"/>
        <v>fémes megjelenés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x14ac:dyDescent="0.2">
      <c r="A163" s="181" t="str">
        <f t="shared" si="2"/>
        <v>A lamella belülről is le van zárva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x14ac:dyDescent="0.2">
      <c r="A164" s="181" t="str">
        <f t="shared" si="2"/>
        <v>A lamella belülről nyitva van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x14ac:dyDescent="0.2">
      <c r="A165" s="181" t="str">
        <f t="shared" si="2"/>
        <v xml:space="preserve">műanyag 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x14ac:dyDescent="0.2">
      <c r="A166" s="181" t="str">
        <f t="shared" si="2"/>
        <v>A profil különböző színkombinációkban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x14ac:dyDescent="0.2">
      <c r="A167" s="181" t="str">
        <f t="shared" si="2"/>
        <v>raktáron design fényes fehér színben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x14ac:dyDescent="0.2">
      <c r="A168" s="181" t="str">
        <f t="shared" si="2"/>
        <v>alkalmas, magas vízszintes mozgáshoz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">
      <c r="A169" s="181" t="str">
        <f t="shared" si="2"/>
        <v>A Calvados színes elkészítése az E23 profilnál, nem kombinálható a FRAME vezetéssel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">
      <c r="A170" s="181" t="str">
        <f t="shared" si="2"/>
        <v>A Cseresznye havana színes elkészítése az E23 profilnál, nem kombinálható a FRAME vezetéssel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x14ac:dyDescent="0.2">
      <c r="A171" s="181" t="str">
        <f t="shared" si="2"/>
        <v>C3 mechanikával függőleges mozgás esetén, ajánlott korpusz méretek:szélesség 364-1164mm és magasság 614-2164mm (belső méreteit).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x14ac:dyDescent="0.2">
      <c r="A172" s="181" t="str">
        <f t="shared" si="2"/>
        <v>belső méreteit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">
      <c r="A173" s="181" t="str">
        <f t="shared" si="2"/>
        <v>Ráütődő vezetésű  (29mm). Aluminium  és nemesacél színben,Metallic line profilban C3 mechanikával kombinálva.A beszerelés előtt szükséges a vezető léct beállítani az alábbi rajz szerint.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">
      <c r="A174" s="181" t="str">
        <f t="shared" si="2"/>
        <v>A ráütődő vezetés 29mm Metallic line C3 kombinációval , szükséges a vezető léc beállítása az alábbi rajz szerint.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">
      <c r="A175" s="181" t="str">
        <f t="shared" si="2"/>
        <v>A Nyír színes elkészítése az E23 profilnál, nem kombinálható a FRAME vezetéssel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">
      <c r="A176" s="181" t="str">
        <f t="shared" si="2"/>
        <v>A Cseresznye színes elkészítése az E23 profilnál, nem kombinálható a FRAME vezetéssel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">
      <c r="A177" s="181" t="str">
        <f t="shared" si="2"/>
        <v>A Jávor színes elkészítése az E23 profilnál, nem kombinálható a FRAME vezetéssel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hyperlinks>
    <hyperlink ref="C120" r:id="rId1" xr:uid="{DA29250E-5A21-4113-A722-1BB023288ABC}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2025-09-08T11:28:44Z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